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Mahmoudi\"/>
    </mc:Choice>
  </mc:AlternateContent>
  <bookViews>
    <workbookView xWindow="0" yWindow="0" windowWidth="16815" windowHeight="8940" activeTab="1"/>
  </bookViews>
  <sheets>
    <sheet name="Data" sheetId="2" r:id="rId1"/>
    <sheet name="TW-RBS وسط" sheetId="1" r:id="rId2"/>
  </sheets>
  <definedNames>
    <definedName name="OLE_LINK3" localSheetId="1">'TW-RBS وسط'!$A$44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266" i="1" l="1"/>
  <c r="F242" i="1" l="1"/>
  <c r="F241" i="1"/>
  <c r="I242" i="1"/>
  <c r="H242" i="1" s="1"/>
  <c r="I241" i="1"/>
  <c r="H241" i="1" s="1"/>
  <c r="AO24" i="1" l="1"/>
  <c r="R24" i="1"/>
  <c r="AO34" i="1"/>
  <c r="R34" i="1"/>
  <c r="Y253" i="1" s="1"/>
  <c r="AE255" i="1" s="1"/>
  <c r="AC213" i="1"/>
  <c r="X203" i="1" l="1"/>
  <c r="AC201" i="1"/>
  <c r="AK205" i="1" l="1"/>
  <c r="AE207" i="1"/>
  <c r="D209" i="1" l="1"/>
  <c r="AE175" i="1"/>
  <c r="AF185" i="1" s="1"/>
  <c r="AB139" i="1"/>
  <c r="P161" i="1"/>
  <c r="AK161" i="1"/>
  <c r="U168" i="1" s="1"/>
  <c r="R170" i="1" s="1"/>
  <c r="N187" i="1" l="1"/>
  <c r="Y189" i="1" s="1"/>
  <c r="AA177" i="1"/>
  <c r="AA179" i="1" s="1"/>
  <c r="B163" i="1"/>
  <c r="AJ161" i="1"/>
  <c r="R27" i="1"/>
  <c r="AO23" i="1" l="1"/>
  <c r="R23" i="1"/>
  <c r="X64" i="1" l="1"/>
  <c r="N64" i="1" s="1"/>
  <c r="R39" i="1"/>
  <c r="AO39" i="1"/>
  <c r="R38" i="1"/>
  <c r="AO38" i="1"/>
  <c r="R37" i="1"/>
  <c r="V149" i="1" s="1"/>
  <c r="AO37" i="1"/>
  <c r="V151" i="1" s="1"/>
  <c r="R40" i="1"/>
  <c r="J241" i="1" s="1"/>
  <c r="AO40" i="1"/>
  <c r="AO27" i="1"/>
  <c r="D50" i="1" s="1"/>
  <c r="H50" i="1"/>
  <c r="H52" i="1"/>
  <c r="D52" i="1" l="1"/>
  <c r="J242" i="1"/>
  <c r="E241" i="1"/>
  <c r="G241" i="1"/>
  <c r="AF85" i="1"/>
  <c r="E242" i="1" l="1"/>
  <c r="G242" i="1"/>
  <c r="I239" i="1"/>
  <c r="AF242" i="1" s="1"/>
  <c r="L45" i="1"/>
  <c r="L44" i="1"/>
  <c r="AG46" i="1"/>
  <c r="AG45" i="1"/>
  <c r="AG44" i="1"/>
  <c r="Z68" i="1" l="1"/>
  <c r="AA75" i="1" l="1"/>
  <c r="N2" i="2"/>
  <c r="I2" i="2"/>
  <c r="M2" i="2" l="1"/>
  <c r="S2" i="2"/>
  <c r="AD135" i="1"/>
  <c r="U2" i="2"/>
  <c r="AO25" i="1" l="1"/>
  <c r="AO35" i="1" l="1"/>
  <c r="R35" i="1"/>
  <c r="H153" i="1" s="1"/>
  <c r="AI125" i="1" l="1"/>
  <c r="AD137" i="1" l="1"/>
  <c r="Z2" i="2" s="1"/>
  <c r="AB145" i="1"/>
  <c r="I145" i="1" s="1"/>
  <c r="Z3" i="2" l="1"/>
  <c r="Y2" i="2"/>
  <c r="Y3" i="2" s="1"/>
  <c r="Z71" i="2"/>
  <c r="Z7" i="2"/>
  <c r="Z19" i="2"/>
  <c r="Z16" i="2"/>
  <c r="Z32" i="2"/>
  <c r="Z48" i="2"/>
  <c r="Z64" i="2"/>
  <c r="Z69" i="2"/>
  <c r="Z37" i="2"/>
  <c r="Z5" i="2"/>
  <c r="U3" i="2"/>
  <c r="Y66" i="2" l="1"/>
  <c r="Z21" i="2"/>
  <c r="Z53" i="2"/>
  <c r="Z72" i="2"/>
  <c r="Z56" i="2"/>
  <c r="Z40" i="2"/>
  <c r="Z24" i="2"/>
  <c r="Z8" i="2"/>
  <c r="Z51" i="2"/>
  <c r="Z39" i="2"/>
  <c r="Z13" i="2"/>
  <c r="Z29" i="2"/>
  <c r="Z45" i="2"/>
  <c r="Z61" i="2"/>
  <c r="Z76" i="2"/>
  <c r="Z68" i="2"/>
  <c r="Z60" i="2"/>
  <c r="Z52" i="2"/>
  <c r="Z44" i="2"/>
  <c r="Z36" i="2"/>
  <c r="Z28" i="2"/>
  <c r="Z20" i="2"/>
  <c r="Z12" i="2"/>
  <c r="Z4" i="2"/>
  <c r="Z35" i="2"/>
  <c r="Z67" i="2"/>
  <c r="Z23" i="2"/>
  <c r="Z55" i="2"/>
  <c r="Y43" i="2"/>
  <c r="Z9" i="2"/>
  <c r="Z17" i="2"/>
  <c r="Z25" i="2"/>
  <c r="Z33" i="2"/>
  <c r="Z41" i="2"/>
  <c r="Z49" i="2"/>
  <c r="Z57" i="2"/>
  <c r="Z65" i="2"/>
  <c r="Z73" i="2"/>
  <c r="Z74" i="2"/>
  <c r="Z70" i="2"/>
  <c r="Z66" i="2"/>
  <c r="Z62" i="2"/>
  <c r="Z58" i="2"/>
  <c r="Z54" i="2"/>
  <c r="Z50" i="2"/>
  <c r="Z46" i="2"/>
  <c r="Z42" i="2"/>
  <c r="Z38" i="2"/>
  <c r="Z34" i="2"/>
  <c r="Z30" i="2"/>
  <c r="Z26" i="2"/>
  <c r="Z22" i="2"/>
  <c r="Z18" i="2"/>
  <c r="Z14" i="2"/>
  <c r="Z10" i="2"/>
  <c r="Z6" i="2"/>
  <c r="Z11" i="2"/>
  <c r="Z27" i="2"/>
  <c r="Z43" i="2"/>
  <c r="Z59" i="2"/>
  <c r="Z75" i="2"/>
  <c r="Z15" i="2"/>
  <c r="Z31" i="2"/>
  <c r="Z47" i="2"/>
  <c r="Z63" i="2"/>
  <c r="Y11" i="2"/>
  <c r="Y75" i="2"/>
  <c r="Y27" i="2"/>
  <c r="Y59" i="2"/>
  <c r="Y34" i="2"/>
  <c r="Y48" i="2"/>
  <c r="Y20" i="2"/>
  <c r="Y19" i="2"/>
  <c r="Y35" i="2"/>
  <c r="Y51" i="2"/>
  <c r="Y67" i="2"/>
  <c r="Y18" i="2"/>
  <c r="Y50" i="2"/>
  <c r="Y16" i="2"/>
  <c r="Y44" i="2"/>
  <c r="Y7" i="2"/>
  <c r="Y15" i="2"/>
  <c r="Y23" i="2"/>
  <c r="Y31" i="2"/>
  <c r="Y39" i="2"/>
  <c r="Y47" i="2"/>
  <c r="Y55" i="2"/>
  <c r="Y63" i="2"/>
  <c r="Y71" i="2"/>
  <c r="Y10" i="2"/>
  <c r="Y26" i="2"/>
  <c r="Y42" i="2"/>
  <c r="Y58" i="2"/>
  <c r="Y74" i="2"/>
  <c r="Y32" i="2"/>
  <c r="Y64" i="2"/>
  <c r="Y36" i="2"/>
  <c r="Y76" i="2"/>
  <c r="Y12" i="2"/>
  <c r="Y5" i="2"/>
  <c r="Y9" i="2"/>
  <c r="Y13" i="2"/>
  <c r="Y17" i="2"/>
  <c r="Y21" i="2"/>
  <c r="Y25" i="2"/>
  <c r="Y29" i="2"/>
  <c r="Y33" i="2"/>
  <c r="Y37" i="2"/>
  <c r="Y41" i="2"/>
  <c r="Y45" i="2"/>
  <c r="Y49" i="2"/>
  <c r="Y53" i="2"/>
  <c r="Y57" i="2"/>
  <c r="Y61" i="2"/>
  <c r="Y65" i="2"/>
  <c r="Y69" i="2"/>
  <c r="Y73" i="2"/>
  <c r="Y6" i="2"/>
  <c r="Y14" i="2"/>
  <c r="Y22" i="2"/>
  <c r="Y30" i="2"/>
  <c r="Y38" i="2"/>
  <c r="Y46" i="2"/>
  <c r="Y54" i="2"/>
  <c r="Y62" i="2"/>
  <c r="Y70" i="2"/>
  <c r="Y8" i="2"/>
  <c r="Y24" i="2"/>
  <c r="Y40" i="2"/>
  <c r="Y56" i="2"/>
  <c r="Y72" i="2"/>
  <c r="Y4" i="2"/>
  <c r="Y68" i="2"/>
  <c r="Y52" i="2"/>
  <c r="Y60" i="2"/>
  <c r="Y28" i="2"/>
  <c r="U74" i="2"/>
  <c r="U70" i="2"/>
  <c r="U66" i="2"/>
  <c r="U62" i="2"/>
  <c r="U58" i="2"/>
  <c r="U54" i="2"/>
  <c r="U50" i="2"/>
  <c r="U46" i="2"/>
  <c r="U42" i="2"/>
  <c r="U38" i="2"/>
  <c r="U34" i="2"/>
  <c r="U30" i="2"/>
  <c r="U26" i="2"/>
  <c r="U22" i="2"/>
  <c r="U18" i="2"/>
  <c r="U14" i="2"/>
  <c r="U10" i="2"/>
  <c r="U6" i="2"/>
  <c r="U76" i="2"/>
  <c r="U72" i="2"/>
  <c r="U68" i="2"/>
  <c r="U64" i="2"/>
  <c r="U60" i="2"/>
  <c r="U56" i="2"/>
  <c r="U52" i="2"/>
  <c r="U48" i="2"/>
  <c r="U44" i="2"/>
  <c r="U40" i="2"/>
  <c r="U36" i="2"/>
  <c r="U32" i="2"/>
  <c r="U28" i="2"/>
  <c r="U24" i="2"/>
  <c r="U20" i="2"/>
  <c r="U16" i="2"/>
  <c r="U12" i="2"/>
  <c r="U8" i="2"/>
  <c r="U4" i="2"/>
  <c r="U75" i="2"/>
  <c r="U73" i="2"/>
  <c r="U71" i="2"/>
  <c r="U69" i="2"/>
  <c r="U67" i="2"/>
  <c r="U65" i="2"/>
  <c r="U63" i="2"/>
  <c r="U61" i="2"/>
  <c r="U59" i="2"/>
  <c r="U57" i="2"/>
  <c r="U55" i="2"/>
  <c r="U53" i="2"/>
  <c r="U51" i="2"/>
  <c r="U49" i="2"/>
  <c r="U47" i="2"/>
  <c r="U45" i="2"/>
  <c r="U43" i="2"/>
  <c r="U41" i="2"/>
  <c r="U39" i="2"/>
  <c r="U37" i="2"/>
  <c r="U35" i="2"/>
  <c r="U33" i="2"/>
  <c r="U31" i="2"/>
  <c r="U29" i="2"/>
  <c r="U27" i="2"/>
  <c r="U25" i="2"/>
  <c r="U23" i="2"/>
  <c r="U21" i="2"/>
  <c r="U19" i="2"/>
  <c r="U17" i="2"/>
  <c r="U15" i="2"/>
  <c r="U13" i="2"/>
  <c r="U11" i="2"/>
  <c r="U9" i="2"/>
  <c r="U7" i="2"/>
  <c r="U5" i="2"/>
  <c r="D33" i="2"/>
  <c r="D34" i="2"/>
  <c r="D35" i="2"/>
  <c r="D36" i="2"/>
  <c r="D37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2" i="2"/>
  <c r="B6" i="2"/>
  <c r="H2" i="2" l="1"/>
  <c r="H58" i="2" s="1"/>
  <c r="I3" i="2"/>
  <c r="I76" i="2"/>
  <c r="I74" i="2"/>
  <c r="I72" i="2"/>
  <c r="I70" i="2"/>
  <c r="I68" i="2"/>
  <c r="I66" i="2"/>
  <c r="I64" i="2"/>
  <c r="I62" i="2"/>
  <c r="I60" i="2"/>
  <c r="I58" i="2"/>
  <c r="I56" i="2"/>
  <c r="I54" i="2"/>
  <c r="I52" i="2"/>
  <c r="I50" i="2"/>
  <c r="I48" i="2"/>
  <c r="I46" i="2"/>
  <c r="I44" i="2"/>
  <c r="I42" i="2"/>
  <c r="I40" i="2"/>
  <c r="I38" i="2"/>
  <c r="I36" i="2"/>
  <c r="I34" i="2"/>
  <c r="I32" i="2"/>
  <c r="I30" i="2"/>
  <c r="I28" i="2"/>
  <c r="I26" i="2"/>
  <c r="I24" i="2"/>
  <c r="I22" i="2"/>
  <c r="I20" i="2"/>
  <c r="I18" i="2"/>
  <c r="I16" i="2"/>
  <c r="I14" i="2"/>
  <c r="I12" i="2"/>
  <c r="I10" i="2"/>
  <c r="I8" i="2"/>
  <c r="I6" i="2"/>
  <c r="I4" i="2"/>
  <c r="I75" i="2"/>
  <c r="I73" i="2"/>
  <c r="I71" i="2"/>
  <c r="I69" i="2"/>
  <c r="I67" i="2"/>
  <c r="I65" i="2"/>
  <c r="I63" i="2"/>
  <c r="I61" i="2"/>
  <c r="I59" i="2"/>
  <c r="I57" i="2"/>
  <c r="I55" i="2"/>
  <c r="I53" i="2"/>
  <c r="I51" i="2"/>
  <c r="I49" i="2"/>
  <c r="I47" i="2"/>
  <c r="I45" i="2"/>
  <c r="I43" i="2"/>
  <c r="I41" i="2"/>
  <c r="I39" i="2"/>
  <c r="I37" i="2"/>
  <c r="I35" i="2"/>
  <c r="I33" i="2"/>
  <c r="I31" i="2"/>
  <c r="I29" i="2"/>
  <c r="I27" i="2"/>
  <c r="I25" i="2"/>
  <c r="I23" i="2"/>
  <c r="I21" i="2"/>
  <c r="I19" i="2"/>
  <c r="I17" i="2"/>
  <c r="I15" i="2"/>
  <c r="I13" i="2"/>
  <c r="I11" i="2"/>
  <c r="I9" i="2"/>
  <c r="I7" i="2"/>
  <c r="I5" i="2"/>
  <c r="R25" i="1"/>
  <c r="H4" i="2" l="1"/>
  <c r="AG111" i="1"/>
  <c r="AG113" i="1" s="1"/>
  <c r="H7" i="2"/>
  <c r="K7" i="2" s="1"/>
  <c r="H39" i="2"/>
  <c r="K39" i="2" s="1"/>
  <c r="H23" i="2"/>
  <c r="K23" i="2" s="1"/>
  <c r="H6" i="2"/>
  <c r="J6" i="2" s="1"/>
  <c r="L6" i="2" s="1"/>
  <c r="J4" i="2"/>
  <c r="L4" i="2" s="1"/>
  <c r="H15" i="2"/>
  <c r="K15" i="2" s="1"/>
  <c r="H31" i="2"/>
  <c r="K31" i="2" s="1"/>
  <c r="H47" i="2"/>
  <c r="J47" i="2" s="1"/>
  <c r="L47" i="2" s="1"/>
  <c r="H12" i="2"/>
  <c r="K12" i="2" s="1"/>
  <c r="H32" i="2"/>
  <c r="J32" i="2" s="1"/>
  <c r="L32" i="2" s="1"/>
  <c r="H48" i="2"/>
  <c r="J48" i="2" s="1"/>
  <c r="L48" i="2" s="1"/>
  <c r="H59" i="2"/>
  <c r="J59" i="2" s="1"/>
  <c r="L59" i="2" s="1"/>
  <c r="H16" i="2"/>
  <c r="J16" i="2" s="1"/>
  <c r="L16" i="2" s="1"/>
  <c r="H50" i="2"/>
  <c r="J50" i="2" s="1"/>
  <c r="L50" i="2" s="1"/>
  <c r="H74" i="2"/>
  <c r="J74" i="2" s="1"/>
  <c r="L74" i="2" s="1"/>
  <c r="H75" i="2"/>
  <c r="J75" i="2" s="1"/>
  <c r="L75" i="2" s="1"/>
  <c r="H11" i="2"/>
  <c r="J11" i="2" s="1"/>
  <c r="L11" i="2" s="1"/>
  <c r="H19" i="2"/>
  <c r="J19" i="2" s="1"/>
  <c r="L19" i="2" s="1"/>
  <c r="H27" i="2"/>
  <c r="J27" i="2" s="1"/>
  <c r="L27" i="2" s="1"/>
  <c r="H35" i="2"/>
  <c r="J35" i="2" s="1"/>
  <c r="L35" i="2" s="1"/>
  <c r="H43" i="2"/>
  <c r="K43" i="2" s="1"/>
  <c r="H51" i="2"/>
  <c r="K51" i="2" s="1"/>
  <c r="H14" i="2"/>
  <c r="K14" i="2" s="1"/>
  <c r="H24" i="2"/>
  <c r="J24" i="2" s="1"/>
  <c r="L24" i="2" s="1"/>
  <c r="H40" i="2"/>
  <c r="K40" i="2" s="1"/>
  <c r="H55" i="2"/>
  <c r="K55" i="2" s="1"/>
  <c r="H63" i="2"/>
  <c r="K63" i="2" s="1"/>
  <c r="H34" i="2"/>
  <c r="J34" i="2" s="1"/>
  <c r="L34" i="2" s="1"/>
  <c r="H66" i="2"/>
  <c r="J66" i="2" s="1"/>
  <c r="L66" i="2" s="1"/>
  <c r="H54" i="2"/>
  <c r="J54" i="2" s="1"/>
  <c r="L54" i="2" s="1"/>
  <c r="H8" i="2"/>
  <c r="J8" i="2" s="1"/>
  <c r="L8" i="2" s="1"/>
  <c r="H60" i="2"/>
  <c r="J60" i="2" s="1"/>
  <c r="L60" i="2" s="1"/>
  <c r="H70" i="2"/>
  <c r="J70" i="2" s="1"/>
  <c r="L70" i="2" s="1"/>
  <c r="H22" i="2"/>
  <c r="J22" i="2" s="1"/>
  <c r="L22" i="2" s="1"/>
  <c r="H67" i="2"/>
  <c r="J67" i="2" s="1"/>
  <c r="L67" i="2" s="1"/>
  <c r="H65" i="2"/>
  <c r="K65" i="2" s="1"/>
  <c r="J7" i="2"/>
  <c r="L7" i="2" s="1"/>
  <c r="J58" i="2"/>
  <c r="L58" i="2" s="1"/>
  <c r="J2" i="2"/>
  <c r="L2" i="2" s="1"/>
  <c r="H30" i="2"/>
  <c r="J30" i="2" s="1"/>
  <c r="L30" i="2" s="1"/>
  <c r="H69" i="2"/>
  <c r="J69" i="2" s="1"/>
  <c r="L69" i="2" s="1"/>
  <c r="H46" i="2"/>
  <c r="J46" i="2" s="1"/>
  <c r="L46" i="2" s="1"/>
  <c r="H73" i="2"/>
  <c r="J73" i="2" s="1"/>
  <c r="L73" i="2" s="1"/>
  <c r="H71" i="2"/>
  <c r="J71" i="2" s="1"/>
  <c r="L71" i="2" s="1"/>
  <c r="H62" i="2"/>
  <c r="J62" i="2" s="1"/>
  <c r="L62" i="2" s="1"/>
  <c r="H38" i="2"/>
  <c r="J38" i="2" s="1"/>
  <c r="L38" i="2" s="1"/>
  <c r="H76" i="2"/>
  <c r="J76" i="2" s="1"/>
  <c r="L76" i="2" s="1"/>
  <c r="H72" i="2"/>
  <c r="J72" i="2" s="1"/>
  <c r="L72" i="2" s="1"/>
  <c r="H68" i="2"/>
  <c r="J68" i="2" s="1"/>
  <c r="L68" i="2" s="1"/>
  <c r="H64" i="2"/>
  <c r="J64" i="2" s="1"/>
  <c r="L64" i="2" s="1"/>
  <c r="H56" i="2"/>
  <c r="J56" i="2" s="1"/>
  <c r="L56" i="2" s="1"/>
  <c r="H42" i="2"/>
  <c r="J42" i="2" s="1"/>
  <c r="L42" i="2" s="1"/>
  <c r="H26" i="2"/>
  <c r="J26" i="2" s="1"/>
  <c r="L26" i="2" s="1"/>
  <c r="H3" i="2"/>
  <c r="J3" i="2" s="1"/>
  <c r="L3" i="2" s="1"/>
  <c r="H61" i="2"/>
  <c r="J61" i="2" s="1"/>
  <c r="L61" i="2" s="1"/>
  <c r="H57" i="2"/>
  <c r="J57" i="2" s="1"/>
  <c r="L57" i="2" s="1"/>
  <c r="H52" i="2"/>
  <c r="J52" i="2" s="1"/>
  <c r="L52" i="2" s="1"/>
  <c r="H44" i="2"/>
  <c r="J44" i="2" s="1"/>
  <c r="L44" i="2" s="1"/>
  <c r="H36" i="2"/>
  <c r="K36" i="2" s="1"/>
  <c r="H28" i="2"/>
  <c r="J28" i="2" s="1"/>
  <c r="L28" i="2" s="1"/>
  <c r="H20" i="2"/>
  <c r="J20" i="2" s="1"/>
  <c r="L20" i="2" s="1"/>
  <c r="H18" i="2"/>
  <c r="J18" i="2" s="1"/>
  <c r="L18" i="2" s="1"/>
  <c r="H10" i="2"/>
  <c r="J10" i="2" s="1"/>
  <c r="L10" i="2" s="1"/>
  <c r="H53" i="2"/>
  <c r="J53" i="2" s="1"/>
  <c r="L53" i="2" s="1"/>
  <c r="H49" i="2"/>
  <c r="J49" i="2" s="1"/>
  <c r="L49" i="2" s="1"/>
  <c r="H45" i="2"/>
  <c r="J45" i="2" s="1"/>
  <c r="L45" i="2" s="1"/>
  <c r="H41" i="2"/>
  <c r="J41" i="2" s="1"/>
  <c r="L41" i="2" s="1"/>
  <c r="H37" i="2"/>
  <c r="J37" i="2" s="1"/>
  <c r="L37" i="2" s="1"/>
  <c r="H33" i="2"/>
  <c r="J33" i="2" s="1"/>
  <c r="L33" i="2" s="1"/>
  <c r="H29" i="2"/>
  <c r="J29" i="2" s="1"/>
  <c r="L29" i="2" s="1"/>
  <c r="H25" i="2"/>
  <c r="J25" i="2" s="1"/>
  <c r="L25" i="2" s="1"/>
  <c r="H21" i="2"/>
  <c r="J21" i="2" s="1"/>
  <c r="L21" i="2" s="1"/>
  <c r="H17" i="2"/>
  <c r="J17" i="2" s="1"/>
  <c r="L17" i="2" s="1"/>
  <c r="H13" i="2"/>
  <c r="J13" i="2" s="1"/>
  <c r="L13" i="2" s="1"/>
  <c r="H9" i="2"/>
  <c r="J9" i="2" s="1"/>
  <c r="L9" i="2" s="1"/>
  <c r="H5" i="2"/>
  <c r="J5" i="2" s="1"/>
  <c r="L5" i="2" s="1"/>
  <c r="K4" i="2"/>
  <c r="K58" i="2"/>
  <c r="K2" i="2"/>
  <c r="D54" i="1"/>
  <c r="D58" i="1"/>
  <c r="Z58" i="1"/>
  <c r="Z54" i="1"/>
  <c r="E60" i="1"/>
  <c r="AA60" i="1"/>
  <c r="F56" i="1"/>
  <c r="AB56" i="1"/>
  <c r="P60" i="1"/>
  <c r="AL60" i="1"/>
  <c r="P58" i="1"/>
  <c r="AL58" i="1"/>
  <c r="P56" i="1"/>
  <c r="P54" i="1"/>
  <c r="AL56" i="1"/>
  <c r="AL54" i="1"/>
  <c r="A4" i="2"/>
  <c r="A3" i="2"/>
  <c r="W60" i="1" l="1"/>
  <c r="W54" i="1"/>
  <c r="A56" i="1"/>
  <c r="A60" i="1"/>
  <c r="J39" i="2"/>
  <c r="L39" i="2" s="1"/>
  <c r="A54" i="1"/>
  <c r="W58" i="1"/>
  <c r="W56" i="1"/>
  <c r="A58" i="1"/>
  <c r="K30" i="2"/>
  <c r="K6" i="2"/>
  <c r="J63" i="2"/>
  <c r="L63" i="2" s="1"/>
  <c r="K11" i="2"/>
  <c r="J43" i="2"/>
  <c r="L43" i="2" s="1"/>
  <c r="K74" i="2"/>
  <c r="K46" i="2"/>
  <c r="K3" i="2"/>
  <c r="K27" i="2"/>
  <c r="J23" i="2"/>
  <c r="L23" i="2" s="1"/>
  <c r="J14" i="2"/>
  <c r="L14" i="2" s="1"/>
  <c r="J40" i="2"/>
  <c r="L40" i="2" s="1"/>
  <c r="K38" i="2"/>
  <c r="K18" i="2"/>
  <c r="K67" i="2"/>
  <c r="J15" i="2"/>
  <c r="L15" i="2" s="1"/>
  <c r="K48" i="2"/>
  <c r="K42" i="2"/>
  <c r="K32" i="2"/>
  <c r="K24" i="2"/>
  <c r="K16" i="2"/>
  <c r="K71" i="2"/>
  <c r="K47" i="2"/>
  <c r="K35" i="2"/>
  <c r="K19" i="2"/>
  <c r="J55" i="2"/>
  <c r="L55" i="2" s="1"/>
  <c r="J51" i="2"/>
  <c r="L51" i="2" s="1"/>
  <c r="J12" i="2"/>
  <c r="L12" i="2" s="1"/>
  <c r="K59" i="2"/>
  <c r="J31" i="2"/>
  <c r="L31" i="2" s="1"/>
  <c r="K68" i="2"/>
  <c r="K50" i="2"/>
  <c r="K20" i="2"/>
  <c r="K76" i="2"/>
  <c r="K70" i="2"/>
  <c r="K66" i="2"/>
  <c r="K8" i="2"/>
  <c r="K72" i="2"/>
  <c r="K64" i="2"/>
  <c r="K54" i="2"/>
  <c r="K44" i="2"/>
  <c r="K28" i="2"/>
  <c r="K34" i="2"/>
  <c r="K75" i="2"/>
  <c r="J65" i="2"/>
  <c r="L65" i="2" s="1"/>
  <c r="K60" i="2"/>
  <c r="K56" i="2"/>
  <c r="K52" i="2"/>
  <c r="K22" i="2"/>
  <c r="K53" i="2"/>
  <c r="K37" i="2"/>
  <c r="K21" i="2"/>
  <c r="K5" i="2"/>
  <c r="K57" i="2"/>
  <c r="K45" i="2"/>
  <c r="K29" i="2"/>
  <c r="K13" i="2"/>
  <c r="K73" i="2"/>
  <c r="K69" i="2"/>
  <c r="K61" i="2"/>
  <c r="K49" i="2"/>
  <c r="K41" i="2"/>
  <c r="K33" i="2"/>
  <c r="K25" i="2"/>
  <c r="K17" i="2"/>
  <c r="K9" i="2"/>
  <c r="J36" i="2"/>
  <c r="L36" i="2" s="1"/>
  <c r="K62" i="2"/>
  <c r="K26" i="2"/>
  <c r="K10" i="2"/>
  <c r="K115" i="1"/>
  <c r="P2" i="2"/>
  <c r="P4" i="2" s="1"/>
  <c r="A2" i="2"/>
  <c r="B2" i="2" s="1"/>
  <c r="L14" i="1" s="1"/>
  <c r="R15" i="1" s="1"/>
  <c r="J77" i="2" l="1"/>
  <c r="P3" i="2"/>
  <c r="P74" i="2"/>
  <c r="P60" i="2"/>
  <c r="P7" i="2"/>
  <c r="P14" i="2"/>
  <c r="P67" i="2"/>
  <c r="P49" i="2"/>
  <c r="P56" i="2"/>
  <c r="P23" i="2"/>
  <c r="P46" i="2"/>
  <c r="P35" i="2"/>
  <c r="P28" i="2"/>
  <c r="P17" i="2"/>
  <c r="P10" i="2"/>
  <c r="P63" i="2"/>
  <c r="P45" i="2"/>
  <c r="P64" i="2"/>
  <c r="P66" i="2"/>
  <c r="P30" i="2"/>
  <c r="P62" i="2"/>
  <c r="P19" i="2"/>
  <c r="P51" i="2"/>
  <c r="P12" i="2"/>
  <c r="P44" i="2"/>
  <c r="P76" i="2"/>
  <c r="P33" i="2"/>
  <c r="P65" i="2"/>
  <c r="P42" i="2"/>
  <c r="P31" i="2"/>
  <c r="P24" i="2"/>
  <c r="P13" i="2"/>
  <c r="P18" i="2"/>
  <c r="P71" i="2"/>
  <c r="P53" i="2"/>
  <c r="P5" i="2"/>
  <c r="P55" i="2"/>
  <c r="P6" i="2"/>
  <c r="P22" i="2"/>
  <c r="P38" i="2"/>
  <c r="P54" i="2"/>
  <c r="P70" i="2"/>
  <c r="P11" i="2"/>
  <c r="P27" i="2"/>
  <c r="P43" i="2"/>
  <c r="P59" i="2"/>
  <c r="P75" i="2"/>
  <c r="P20" i="2"/>
  <c r="P36" i="2"/>
  <c r="P52" i="2"/>
  <c r="P68" i="2"/>
  <c r="P9" i="2"/>
  <c r="P25" i="2"/>
  <c r="P41" i="2"/>
  <c r="P57" i="2"/>
  <c r="P73" i="2"/>
  <c r="P26" i="2"/>
  <c r="P58" i="2"/>
  <c r="P15" i="2"/>
  <c r="P47" i="2"/>
  <c r="P8" i="2"/>
  <c r="P40" i="2"/>
  <c r="P72" i="2"/>
  <c r="P29" i="2"/>
  <c r="P61" i="2"/>
  <c r="P50" i="2"/>
  <c r="P39" i="2"/>
  <c r="P32" i="2"/>
  <c r="P21" i="2"/>
  <c r="P34" i="2"/>
  <c r="P16" i="2"/>
  <c r="P69" i="2"/>
  <c r="P48" i="2"/>
  <c r="P37" i="2"/>
  <c r="W2" i="2" l="1"/>
  <c r="S33" i="2" l="1"/>
  <c r="T33" i="2" s="1"/>
  <c r="S49" i="2"/>
  <c r="T49" i="2" s="1"/>
  <c r="S7" i="2"/>
  <c r="T7" i="2" s="1"/>
  <c r="S29" i="2"/>
  <c r="T29" i="2" s="1"/>
  <c r="S45" i="2"/>
  <c r="T45" i="2" s="1"/>
  <c r="S61" i="2"/>
  <c r="T61" i="2" s="1"/>
  <c r="S73" i="2"/>
  <c r="T73" i="2" s="1"/>
  <c r="S41" i="2"/>
  <c r="T41" i="2" s="1"/>
  <c r="S75" i="2"/>
  <c r="T75" i="2" s="1"/>
  <c r="S67" i="2"/>
  <c r="T67" i="2" s="1"/>
  <c r="S59" i="2"/>
  <c r="T59" i="2" s="1"/>
  <c r="S51" i="2"/>
  <c r="T51" i="2" s="1"/>
  <c r="S43" i="2"/>
  <c r="T43" i="2" s="1"/>
  <c r="S35" i="2"/>
  <c r="T35" i="2" s="1"/>
  <c r="S27" i="2"/>
  <c r="T27" i="2" s="1"/>
  <c r="S3" i="2"/>
  <c r="T3" i="2" s="1"/>
  <c r="S19" i="2"/>
  <c r="T19" i="2" s="1"/>
  <c r="S26" i="2"/>
  <c r="T26" i="2" s="1"/>
  <c r="S30" i="2"/>
  <c r="T30" i="2" s="1"/>
  <c r="S34" i="2"/>
  <c r="T34" i="2" s="1"/>
  <c r="S38" i="2"/>
  <c r="T38" i="2" s="1"/>
  <c r="S42" i="2"/>
  <c r="T42" i="2" s="1"/>
  <c r="S46" i="2"/>
  <c r="T46" i="2" s="1"/>
  <c r="S50" i="2"/>
  <c r="T50" i="2" s="1"/>
  <c r="S54" i="2"/>
  <c r="T54" i="2" s="1"/>
  <c r="S58" i="2"/>
  <c r="T58" i="2" s="1"/>
  <c r="S62" i="2"/>
  <c r="T62" i="2" s="1"/>
  <c r="S66" i="2"/>
  <c r="T66" i="2" s="1"/>
  <c r="S70" i="2"/>
  <c r="T70" i="2" s="1"/>
  <c r="S74" i="2"/>
  <c r="T74" i="2" s="1"/>
  <c r="S24" i="2"/>
  <c r="T24" i="2" s="1"/>
  <c r="S20" i="2"/>
  <c r="T20" i="2" s="1"/>
  <c r="S13" i="2"/>
  <c r="T13" i="2" s="1"/>
  <c r="S5" i="2"/>
  <c r="T5" i="2" s="1"/>
  <c r="S16" i="2"/>
  <c r="T16" i="2" s="1"/>
  <c r="S12" i="2"/>
  <c r="T12" i="2" s="1"/>
  <c r="S8" i="2"/>
  <c r="T8" i="2" s="1"/>
  <c r="S4" i="2"/>
  <c r="T4" i="2" s="1"/>
  <c r="S65" i="2"/>
  <c r="T65" i="2" s="1"/>
  <c r="S15" i="2"/>
  <c r="T15" i="2" s="1"/>
  <c r="S37" i="2"/>
  <c r="T37" i="2" s="1"/>
  <c r="S53" i="2"/>
  <c r="T53" i="2" s="1"/>
  <c r="S69" i="2"/>
  <c r="T69" i="2" s="1"/>
  <c r="S57" i="2"/>
  <c r="T57" i="2" s="1"/>
  <c r="S25" i="2"/>
  <c r="T25" i="2" s="1"/>
  <c r="S71" i="2"/>
  <c r="T71" i="2" s="1"/>
  <c r="S63" i="2"/>
  <c r="T63" i="2" s="1"/>
  <c r="S55" i="2"/>
  <c r="T55" i="2" s="1"/>
  <c r="S47" i="2"/>
  <c r="T47" i="2" s="1"/>
  <c r="S39" i="2"/>
  <c r="T39" i="2" s="1"/>
  <c r="S31" i="2"/>
  <c r="T31" i="2" s="1"/>
  <c r="S21" i="2"/>
  <c r="T21" i="2" s="1"/>
  <c r="S11" i="2"/>
  <c r="T11" i="2" s="1"/>
  <c r="S23" i="2"/>
  <c r="T23" i="2" s="1"/>
  <c r="S28" i="2"/>
  <c r="T28" i="2" s="1"/>
  <c r="S32" i="2"/>
  <c r="T32" i="2" s="1"/>
  <c r="S36" i="2"/>
  <c r="T36" i="2" s="1"/>
  <c r="S40" i="2"/>
  <c r="T40" i="2" s="1"/>
  <c r="S44" i="2"/>
  <c r="T44" i="2" s="1"/>
  <c r="S48" i="2"/>
  <c r="T48" i="2" s="1"/>
  <c r="S52" i="2"/>
  <c r="T52" i="2" s="1"/>
  <c r="S56" i="2"/>
  <c r="T56" i="2" s="1"/>
  <c r="S60" i="2"/>
  <c r="T60" i="2" s="1"/>
  <c r="S64" i="2"/>
  <c r="T64" i="2" s="1"/>
  <c r="S68" i="2"/>
  <c r="T68" i="2" s="1"/>
  <c r="S72" i="2"/>
  <c r="T72" i="2" s="1"/>
  <c r="S76" i="2"/>
  <c r="T76" i="2" s="1"/>
  <c r="S22" i="2"/>
  <c r="T22" i="2" s="1"/>
  <c r="S17" i="2"/>
  <c r="T17" i="2" s="1"/>
  <c r="S9" i="2"/>
  <c r="T9" i="2" s="1"/>
  <c r="S18" i="2"/>
  <c r="T18" i="2" s="1"/>
  <c r="S14" i="2"/>
  <c r="T14" i="2" s="1"/>
  <c r="S10" i="2"/>
  <c r="T10" i="2" s="1"/>
  <c r="S6" i="2"/>
  <c r="T6" i="2" s="1"/>
  <c r="T2" i="2"/>
  <c r="V2" i="2" s="1"/>
  <c r="M4" i="2"/>
  <c r="M8" i="2"/>
  <c r="M12" i="2"/>
  <c r="M16" i="2"/>
  <c r="M20" i="2"/>
  <c r="M24" i="2"/>
  <c r="M28" i="2"/>
  <c r="M32" i="2"/>
  <c r="M36" i="2"/>
  <c r="M40" i="2"/>
  <c r="M44" i="2"/>
  <c r="M47" i="2"/>
  <c r="M49" i="2"/>
  <c r="M51" i="2"/>
  <c r="M53" i="2"/>
  <c r="M55" i="2"/>
  <c r="M57" i="2"/>
  <c r="M59" i="2"/>
  <c r="M61" i="2"/>
  <c r="M63" i="2"/>
  <c r="M65" i="2"/>
  <c r="M67" i="2"/>
  <c r="M69" i="2"/>
  <c r="M71" i="2"/>
  <c r="M73" i="2"/>
  <c r="M75" i="2"/>
  <c r="M6" i="2"/>
  <c r="M14" i="2"/>
  <c r="M22" i="2"/>
  <c r="M30" i="2"/>
  <c r="M38" i="2"/>
  <c r="M46" i="2"/>
  <c r="M50" i="2"/>
  <c r="M54" i="2"/>
  <c r="M58" i="2"/>
  <c r="M62" i="2"/>
  <c r="M66" i="2"/>
  <c r="M70" i="2"/>
  <c r="M74" i="2"/>
  <c r="M3" i="2"/>
  <c r="M10" i="2"/>
  <c r="M18" i="2"/>
  <c r="M26" i="2"/>
  <c r="M34" i="2"/>
  <c r="M42" i="2"/>
  <c r="M48" i="2"/>
  <c r="M52" i="2"/>
  <c r="M56" i="2"/>
  <c r="M60" i="2"/>
  <c r="M64" i="2"/>
  <c r="M68" i="2"/>
  <c r="M72" i="2"/>
  <c r="M76" i="2"/>
  <c r="M45" i="2"/>
  <c r="M41" i="2"/>
  <c r="M37" i="2"/>
  <c r="M33" i="2"/>
  <c r="M29" i="2"/>
  <c r="M25" i="2"/>
  <c r="M21" i="2"/>
  <c r="M17" i="2"/>
  <c r="M13" i="2"/>
  <c r="M9" i="2"/>
  <c r="M5" i="2"/>
  <c r="M43" i="2"/>
  <c r="M39" i="2"/>
  <c r="M35" i="2"/>
  <c r="M31" i="2"/>
  <c r="M27" i="2"/>
  <c r="M23" i="2"/>
  <c r="M19" i="2"/>
  <c r="M15" i="2"/>
  <c r="M11" i="2"/>
  <c r="M7" i="2"/>
  <c r="O2" i="2"/>
  <c r="N53" i="2"/>
  <c r="N10" i="2"/>
  <c r="N54" i="2"/>
  <c r="N66" i="2"/>
  <c r="N60" i="2"/>
  <c r="N69" i="2"/>
  <c r="N17" i="2"/>
  <c r="N34" i="2"/>
  <c r="N29" i="2"/>
  <c r="N33" i="2"/>
  <c r="N18" i="2"/>
  <c r="N15" i="2"/>
  <c r="N55" i="2"/>
  <c r="N70" i="2"/>
  <c r="N76" i="2"/>
  <c r="N48" i="2"/>
  <c r="N28" i="2"/>
  <c r="N71" i="2"/>
  <c r="N38" i="2"/>
  <c r="N26" i="2"/>
  <c r="N37" i="2"/>
  <c r="N72" i="2"/>
  <c r="N6" i="2"/>
  <c r="N51" i="2"/>
  <c r="N41" i="2"/>
  <c r="N8" i="2"/>
  <c r="N73" i="2"/>
  <c r="N25" i="2"/>
  <c r="N32" i="2"/>
  <c r="N50" i="2"/>
  <c r="N56" i="2"/>
  <c r="N5" i="2"/>
  <c r="N64" i="2"/>
  <c r="N57" i="2"/>
  <c r="N30" i="2"/>
  <c r="N36" i="2"/>
  <c r="N40" i="2"/>
  <c r="N62" i="2"/>
  <c r="N63" i="2"/>
  <c r="N46" i="2"/>
  <c r="N68" i="2"/>
  <c r="N39" i="2"/>
  <c r="N19" i="2"/>
  <c r="N11" i="2"/>
  <c r="N21" i="2"/>
  <c r="N44" i="2"/>
  <c r="N61" i="2"/>
  <c r="N65" i="2"/>
  <c r="N16" i="2"/>
  <c r="N22" i="2"/>
  <c r="N47" i="2"/>
  <c r="N74" i="2"/>
  <c r="N3" i="2"/>
  <c r="N31" i="2"/>
  <c r="N23" i="2"/>
  <c r="N35" i="2"/>
  <c r="N49" i="2"/>
  <c r="N12" i="2"/>
  <c r="N58" i="2"/>
  <c r="N4" i="2"/>
  <c r="N14" i="2"/>
  <c r="N43" i="2"/>
  <c r="N9" i="2"/>
  <c r="N52" i="2"/>
  <c r="N67" i="2"/>
  <c r="N42" i="2"/>
  <c r="N13" i="2"/>
  <c r="N27" i="2"/>
  <c r="N59" i="2"/>
  <c r="N45" i="2"/>
  <c r="N20" i="2"/>
  <c r="N24" i="2"/>
  <c r="N7" i="2"/>
  <c r="N75" i="2"/>
  <c r="W69" i="2"/>
  <c r="W46" i="2"/>
  <c r="W41" i="2"/>
  <c r="W60" i="2"/>
  <c r="W35" i="2"/>
  <c r="W43" i="2"/>
  <c r="W45" i="2"/>
  <c r="W23" i="2"/>
  <c r="W62" i="2"/>
  <c r="W40" i="2"/>
  <c r="W44" i="2"/>
  <c r="W33" i="2"/>
  <c r="W10" i="2"/>
  <c r="W30" i="2"/>
  <c r="W28" i="2"/>
  <c r="W25" i="2"/>
  <c r="W61" i="2"/>
  <c r="W64" i="2"/>
  <c r="W75" i="2"/>
  <c r="W8" i="2"/>
  <c r="W57" i="2"/>
  <c r="W72" i="2"/>
  <c r="W70" i="2"/>
  <c r="W48" i="2"/>
  <c r="W34" i="2"/>
  <c r="W18" i="2"/>
  <c r="W20" i="2"/>
  <c r="W13" i="2"/>
  <c r="W73" i="2"/>
  <c r="W17" i="2"/>
  <c r="W22" i="2"/>
  <c r="W27" i="2"/>
  <c r="W15" i="2"/>
  <c r="W58" i="2"/>
  <c r="W14" i="2"/>
  <c r="W31" i="2"/>
  <c r="W38" i="2"/>
  <c r="W24" i="2"/>
  <c r="W54" i="2"/>
  <c r="W56" i="2"/>
  <c r="W59" i="2"/>
  <c r="W65" i="2"/>
  <c r="W12" i="2"/>
  <c r="W74" i="2"/>
  <c r="W66" i="2"/>
  <c r="W76" i="2"/>
  <c r="W49" i="2"/>
  <c r="W51" i="2"/>
  <c r="W9" i="2"/>
  <c r="W3" i="2"/>
  <c r="W36" i="2"/>
  <c r="W11" i="2"/>
  <c r="W16" i="2"/>
  <c r="W55" i="2"/>
  <c r="W7" i="2"/>
  <c r="W67" i="2"/>
  <c r="W42" i="2"/>
  <c r="W71" i="2"/>
  <c r="W4" i="2"/>
  <c r="W37" i="2"/>
  <c r="W52" i="2"/>
  <c r="W26" i="2"/>
  <c r="W47" i="2"/>
  <c r="W6" i="2"/>
  <c r="W29" i="2"/>
  <c r="W19" i="2"/>
  <c r="W39" i="2"/>
  <c r="W21" i="2"/>
  <c r="W32" i="2"/>
  <c r="W5" i="2"/>
  <c r="W68" i="2"/>
  <c r="W53" i="2"/>
  <c r="W63" i="2"/>
  <c r="W50" i="2"/>
  <c r="O7" i="2" l="1"/>
  <c r="O23" i="2"/>
  <c r="O13" i="2"/>
  <c r="O21" i="2"/>
  <c r="Q21" i="2" s="1"/>
  <c r="O29" i="2"/>
  <c r="O37" i="2"/>
  <c r="O64" i="2"/>
  <c r="O56" i="2"/>
  <c r="Q56" i="2" s="1"/>
  <c r="O18" i="2"/>
  <c r="O3" i="2"/>
  <c r="R3" i="2" s="1"/>
  <c r="AA3" i="2" s="1"/>
  <c r="O54" i="2"/>
  <c r="O30" i="2"/>
  <c r="R30" i="2" s="1"/>
  <c r="AA30" i="2" s="1"/>
  <c r="O14" i="2"/>
  <c r="O67" i="2"/>
  <c r="O63" i="2"/>
  <c r="O59" i="2"/>
  <c r="R59" i="2" s="1"/>
  <c r="AA59" i="2" s="1"/>
  <c r="O55" i="2"/>
  <c r="O47" i="2"/>
  <c r="R47" i="2" s="1"/>
  <c r="AA47" i="2" s="1"/>
  <c r="O40" i="2"/>
  <c r="R40" i="2" s="1"/>
  <c r="AA40" i="2" s="1"/>
  <c r="O32" i="2"/>
  <c r="O16" i="2"/>
  <c r="O15" i="2"/>
  <c r="O31" i="2"/>
  <c r="O39" i="2"/>
  <c r="O5" i="2"/>
  <c r="O45" i="2"/>
  <c r="O72" i="2"/>
  <c r="O48" i="2"/>
  <c r="O34" i="2"/>
  <c r="O70" i="2"/>
  <c r="O62" i="2"/>
  <c r="O46" i="2"/>
  <c r="O75" i="2"/>
  <c r="O71" i="2"/>
  <c r="O51" i="2"/>
  <c r="O24" i="2"/>
  <c r="O8" i="2"/>
  <c r="O11" i="2"/>
  <c r="O19" i="2"/>
  <c r="O27" i="2"/>
  <c r="O35" i="2"/>
  <c r="O43" i="2"/>
  <c r="O9" i="2"/>
  <c r="R9" i="2" s="1"/>
  <c r="AA9" i="2" s="1"/>
  <c r="O17" i="2"/>
  <c r="R17" i="2" s="1"/>
  <c r="AA17" i="2" s="1"/>
  <c r="O25" i="2"/>
  <c r="O33" i="2"/>
  <c r="O41" i="2"/>
  <c r="O76" i="2"/>
  <c r="Q76" i="2" s="1"/>
  <c r="O68" i="2"/>
  <c r="Q68" i="2" s="1"/>
  <c r="O60" i="2"/>
  <c r="R60" i="2" s="1"/>
  <c r="AA60" i="2" s="1"/>
  <c r="O52" i="2"/>
  <c r="O42" i="2"/>
  <c r="O26" i="2"/>
  <c r="O10" i="2"/>
  <c r="O74" i="2"/>
  <c r="O66" i="2"/>
  <c r="O58" i="2"/>
  <c r="O50" i="2"/>
  <c r="O38" i="2"/>
  <c r="O22" i="2"/>
  <c r="O6" i="2"/>
  <c r="O73" i="2"/>
  <c r="Q73" i="2" s="1"/>
  <c r="O69" i="2"/>
  <c r="O65" i="2"/>
  <c r="O61" i="2"/>
  <c r="O57" i="2"/>
  <c r="O53" i="2"/>
  <c r="Q53" i="2" s="1"/>
  <c r="O49" i="2"/>
  <c r="O44" i="2"/>
  <c r="O36" i="2"/>
  <c r="O28" i="2"/>
  <c r="R28" i="2" s="1"/>
  <c r="AA28" i="2" s="1"/>
  <c r="O20" i="2"/>
  <c r="R20" i="2" s="1"/>
  <c r="AA20" i="2" s="1"/>
  <c r="O12" i="2"/>
  <c r="O4" i="2"/>
  <c r="Q54" i="2"/>
  <c r="R2" i="2"/>
  <c r="AA2" i="2" s="1"/>
  <c r="Q2" i="2"/>
  <c r="AB2" i="2" l="1"/>
  <c r="Q9" i="2"/>
  <c r="Q28" i="2"/>
  <c r="R56" i="2"/>
  <c r="AA56" i="2" s="1"/>
  <c r="R73" i="2"/>
  <c r="AA73" i="2" s="1"/>
  <c r="R21" i="2"/>
  <c r="AA21" i="2" s="1"/>
  <c r="R53" i="2"/>
  <c r="AA53" i="2" s="1"/>
  <c r="R68" i="2"/>
  <c r="AA68" i="2" s="1"/>
  <c r="R54" i="2"/>
  <c r="AA54" i="2" s="1"/>
  <c r="Q30" i="2"/>
  <c r="Q47" i="2"/>
  <c r="Q40" i="2"/>
  <c r="Q59" i="2"/>
  <c r="R76" i="2"/>
  <c r="AA76" i="2" s="1"/>
  <c r="Q20" i="2"/>
  <c r="Q3" i="2"/>
  <c r="Q17" i="2"/>
  <c r="Q60" i="2"/>
  <c r="Q32" i="2"/>
  <c r="R32" i="2"/>
  <c r="AA32" i="2" s="1"/>
  <c r="R66" i="2"/>
  <c r="AA66" i="2" s="1"/>
  <c r="Q66" i="2"/>
  <c r="R16" i="2"/>
  <c r="AA16" i="2" s="1"/>
  <c r="Q16" i="2"/>
  <c r="R6" i="2"/>
  <c r="AA6" i="2" s="1"/>
  <c r="Q6" i="2"/>
  <c r="Q71" i="2"/>
  <c r="R71" i="2"/>
  <c r="AA71" i="2" s="1"/>
  <c r="R23" i="2"/>
  <c r="AA23" i="2" s="1"/>
  <c r="Q23" i="2"/>
  <c r="R43" i="2"/>
  <c r="AA43" i="2" s="1"/>
  <c r="Q43" i="2"/>
  <c r="R4" i="2"/>
  <c r="AA4" i="2" s="1"/>
  <c r="Q4" i="2"/>
  <c r="R7" i="2"/>
  <c r="AA7" i="2" s="1"/>
  <c r="Q7" i="2"/>
  <c r="AD2" i="2"/>
  <c r="Q33" i="2"/>
  <c r="R33" i="2"/>
  <c r="AA33" i="2" s="1"/>
  <c r="R65" i="2"/>
  <c r="AA65" i="2" s="1"/>
  <c r="Q65" i="2"/>
  <c r="R18" i="2"/>
  <c r="AA18" i="2" s="1"/>
  <c r="Q18" i="2"/>
  <c r="R57" i="2"/>
  <c r="AA57" i="2" s="1"/>
  <c r="Q57" i="2"/>
  <c r="R13" i="2"/>
  <c r="AA13" i="2" s="1"/>
  <c r="Q13" i="2"/>
  <c r="R61" i="2"/>
  <c r="AA61" i="2" s="1"/>
  <c r="Q61" i="2"/>
  <c r="R67" i="2"/>
  <c r="AA67" i="2" s="1"/>
  <c r="Q67" i="2"/>
  <c r="R5" i="2"/>
  <c r="AA5" i="2" s="1"/>
  <c r="Q5" i="2"/>
  <c r="R37" i="2"/>
  <c r="AA37" i="2" s="1"/>
  <c r="Q37" i="2"/>
  <c r="R69" i="2"/>
  <c r="AA69" i="2" s="1"/>
  <c r="Q69" i="2"/>
  <c r="V73" i="2"/>
  <c r="R36" i="2"/>
  <c r="AA36" i="2" s="1"/>
  <c r="Q36" i="2"/>
  <c r="R52" i="2"/>
  <c r="AA52" i="2" s="1"/>
  <c r="Q52" i="2"/>
  <c r="R31" i="2"/>
  <c r="AA31" i="2" s="1"/>
  <c r="Q31" i="2"/>
  <c r="R10" i="2"/>
  <c r="AA10" i="2" s="1"/>
  <c r="Q10" i="2"/>
  <c r="R12" i="2"/>
  <c r="AA12" i="2" s="1"/>
  <c r="Q12" i="2"/>
  <c r="V21" i="2"/>
  <c r="R34" i="2"/>
  <c r="AA34" i="2" s="1"/>
  <c r="Q34" i="2"/>
  <c r="R50" i="2"/>
  <c r="AA50" i="2" s="1"/>
  <c r="Q50" i="2"/>
  <c r="V56" i="2"/>
  <c r="R39" i="2"/>
  <c r="AA39" i="2" s="1"/>
  <c r="Q39" i="2"/>
  <c r="V53" i="2"/>
  <c r="V68" i="2"/>
  <c r="R45" i="2"/>
  <c r="AA45" i="2" s="1"/>
  <c r="Q45" i="2"/>
  <c r="V54" i="2"/>
  <c r="Q74" i="2"/>
  <c r="R74" i="2"/>
  <c r="AA74" i="2" s="1"/>
  <c r="R14" i="2"/>
  <c r="AA14" i="2" s="1"/>
  <c r="Q14" i="2"/>
  <c r="Q49" i="2"/>
  <c r="R49" i="2"/>
  <c r="AA49" i="2" s="1"/>
  <c r="Q42" i="2"/>
  <c r="R42" i="2"/>
  <c r="AA42" i="2" s="1"/>
  <c r="R11" i="2"/>
  <c r="AA11" i="2" s="1"/>
  <c r="Q11" i="2"/>
  <c r="Q26" i="2"/>
  <c r="R26" i="2"/>
  <c r="AA26" i="2" s="1"/>
  <c r="R63" i="2"/>
  <c r="AA63" i="2" s="1"/>
  <c r="Q63" i="2"/>
  <c r="R48" i="2"/>
  <c r="AA48" i="2" s="1"/>
  <c r="Q48" i="2"/>
  <c r="R38" i="2"/>
  <c r="AA38" i="2" s="1"/>
  <c r="Q38" i="2"/>
  <c r="R55" i="2"/>
  <c r="AA55" i="2" s="1"/>
  <c r="Q55" i="2"/>
  <c r="R46" i="2"/>
  <c r="AA46" i="2" s="1"/>
  <c r="Q46" i="2"/>
  <c r="Q19" i="2"/>
  <c r="R19" i="2"/>
  <c r="AA19" i="2" s="1"/>
  <c r="R58" i="2"/>
  <c r="AA58" i="2" s="1"/>
  <c r="Q58" i="2"/>
  <c r="R51" i="2"/>
  <c r="AA51" i="2" s="1"/>
  <c r="Q51" i="2"/>
  <c r="R72" i="2"/>
  <c r="AA72" i="2" s="1"/>
  <c r="Q72" i="2"/>
  <c r="R15" i="2"/>
  <c r="AA15" i="2" s="1"/>
  <c r="Q15" i="2"/>
  <c r="R41" i="2"/>
  <c r="AA41" i="2" s="1"/>
  <c r="Q41" i="2"/>
  <c r="R64" i="2"/>
  <c r="AA64" i="2" s="1"/>
  <c r="Q64" i="2"/>
  <c r="R29" i="2"/>
  <c r="AA29" i="2" s="1"/>
  <c r="Q29" i="2"/>
  <c r="V76" i="2"/>
  <c r="Q24" i="2"/>
  <c r="R24" i="2"/>
  <c r="AA24" i="2" s="1"/>
  <c r="Q35" i="2"/>
  <c r="R35" i="2"/>
  <c r="AA35" i="2" s="1"/>
  <c r="R70" i="2"/>
  <c r="AA70" i="2" s="1"/>
  <c r="Q70" i="2"/>
  <c r="Q44" i="2"/>
  <c r="R44" i="2"/>
  <c r="AA44" i="2" s="1"/>
  <c r="R62" i="2"/>
  <c r="AA62" i="2" s="1"/>
  <c r="Q62" i="2"/>
  <c r="R8" i="2"/>
  <c r="AA8" i="2" s="1"/>
  <c r="Q8" i="2"/>
  <c r="R27" i="2"/>
  <c r="AA27" i="2" s="1"/>
  <c r="Q27" i="2"/>
  <c r="R25" i="2"/>
  <c r="AA25" i="2" s="1"/>
  <c r="Q25" i="2"/>
  <c r="R75" i="2"/>
  <c r="AA75" i="2" s="1"/>
  <c r="Q75" i="2"/>
  <c r="R22" i="2"/>
  <c r="AA22" i="2" s="1"/>
  <c r="Q22" i="2"/>
  <c r="AB73" i="2" l="1"/>
  <c r="AB21" i="2"/>
  <c r="AD68" i="2"/>
  <c r="AB68" i="2"/>
  <c r="AD56" i="2"/>
  <c r="AB56" i="2"/>
  <c r="AD76" i="2"/>
  <c r="AB76" i="2"/>
  <c r="AD54" i="2"/>
  <c r="AB54" i="2"/>
  <c r="AD53" i="2"/>
  <c r="AB53" i="2"/>
  <c r="AD21" i="2"/>
  <c r="AD73" i="2"/>
  <c r="V3" i="2"/>
  <c r="V9" i="2"/>
  <c r="V28" i="2"/>
  <c r="V30" i="2"/>
  <c r="V60" i="2"/>
  <c r="V40" i="2"/>
  <c r="V47" i="2"/>
  <c r="AB47" i="2" s="1"/>
  <c r="V59" i="2"/>
  <c r="V17" i="2"/>
  <c r="V44" i="2"/>
  <c r="V35" i="2"/>
  <c r="V24" i="2"/>
  <c r="V29" i="2"/>
  <c r="V64" i="2"/>
  <c r="V41" i="2"/>
  <c r="V15" i="2"/>
  <c r="V72" i="2"/>
  <c r="V51" i="2"/>
  <c r="V58" i="2"/>
  <c r="V46" i="2"/>
  <c r="V55" i="2"/>
  <c r="V38" i="2"/>
  <c r="V48" i="2"/>
  <c r="V63" i="2"/>
  <c r="V11" i="2"/>
  <c r="V14" i="2"/>
  <c r="V45" i="2"/>
  <c r="X68" i="2"/>
  <c r="V39" i="2"/>
  <c r="V50" i="2"/>
  <c r="V34" i="2"/>
  <c r="V12" i="2"/>
  <c r="V10" i="2"/>
  <c r="V31" i="2"/>
  <c r="V52" i="2"/>
  <c r="V36" i="2"/>
  <c r="X73" i="2"/>
  <c r="V33" i="2"/>
  <c r="V7" i="2"/>
  <c r="V4" i="2"/>
  <c r="V43" i="2"/>
  <c r="V23" i="2"/>
  <c r="V6" i="2"/>
  <c r="V16" i="2"/>
  <c r="V66" i="2"/>
  <c r="V22" i="2"/>
  <c r="V75" i="2"/>
  <c r="V25" i="2"/>
  <c r="V27" i="2"/>
  <c r="V8" i="2"/>
  <c r="V62" i="2"/>
  <c r="V70" i="2"/>
  <c r="X76" i="2"/>
  <c r="V19" i="2"/>
  <c r="V26" i="2"/>
  <c r="V42" i="2"/>
  <c r="V49" i="2"/>
  <c r="V74" i="2"/>
  <c r="X54" i="2"/>
  <c r="X53" i="2"/>
  <c r="X56" i="2"/>
  <c r="X21" i="2"/>
  <c r="V69" i="2"/>
  <c r="V37" i="2"/>
  <c r="V5" i="2"/>
  <c r="V67" i="2"/>
  <c r="V61" i="2"/>
  <c r="V13" i="2"/>
  <c r="V57" i="2"/>
  <c r="V18" i="2"/>
  <c r="V65" i="2"/>
  <c r="X2" i="2"/>
  <c r="AE2" i="2" s="1"/>
  <c r="V71" i="2"/>
  <c r="V32" i="2"/>
  <c r="AD32" i="2" l="1"/>
  <c r="AB32" i="2"/>
  <c r="AD13" i="2"/>
  <c r="AB13" i="2"/>
  <c r="AD37" i="2"/>
  <c r="AB37" i="2"/>
  <c r="AD74" i="2"/>
  <c r="AB74" i="2"/>
  <c r="AD42" i="2"/>
  <c r="AB42" i="2"/>
  <c r="AD19" i="2"/>
  <c r="AB19" i="2"/>
  <c r="AD70" i="2"/>
  <c r="AB70" i="2"/>
  <c r="AD8" i="2"/>
  <c r="AB8" i="2"/>
  <c r="AD25" i="2"/>
  <c r="AB25" i="2"/>
  <c r="AD22" i="2"/>
  <c r="AB22" i="2"/>
  <c r="AD16" i="2"/>
  <c r="AB16" i="2"/>
  <c r="AD23" i="2"/>
  <c r="AB23" i="2"/>
  <c r="AD4" i="2"/>
  <c r="AB4" i="2"/>
  <c r="AD33" i="2"/>
  <c r="AB33" i="2"/>
  <c r="AD36" i="2"/>
  <c r="AB36" i="2"/>
  <c r="AD31" i="2"/>
  <c r="AB31" i="2"/>
  <c r="AD12" i="2"/>
  <c r="AB12" i="2"/>
  <c r="AD50" i="2"/>
  <c r="AB50" i="2"/>
  <c r="AD14" i="2"/>
  <c r="AB14" i="2"/>
  <c r="AD63" i="2"/>
  <c r="AB63" i="2"/>
  <c r="AD38" i="2"/>
  <c r="AB38" i="2"/>
  <c r="AD46" i="2"/>
  <c r="AB46" i="2"/>
  <c r="AD51" i="2"/>
  <c r="AB51" i="2"/>
  <c r="AD15" i="2"/>
  <c r="AB15" i="2"/>
  <c r="AD64" i="2"/>
  <c r="AB64" i="2"/>
  <c r="AD24" i="2"/>
  <c r="AB24" i="2"/>
  <c r="AD44" i="2"/>
  <c r="AB44" i="2"/>
  <c r="AD59" i="2"/>
  <c r="AB59" i="2"/>
  <c r="AD40" i="2"/>
  <c r="AB40" i="2"/>
  <c r="AD30" i="2"/>
  <c r="AB30" i="2"/>
  <c r="AD9" i="2"/>
  <c r="AB9" i="2"/>
  <c r="AD18" i="2"/>
  <c r="AB18" i="2"/>
  <c r="AD67" i="2"/>
  <c r="AB67" i="2"/>
  <c r="AD71" i="2"/>
  <c r="AB71" i="2"/>
  <c r="AD57" i="2"/>
  <c r="AB57" i="2"/>
  <c r="AD61" i="2"/>
  <c r="AB61" i="2"/>
  <c r="AD5" i="2"/>
  <c r="AB5" i="2"/>
  <c r="AD69" i="2"/>
  <c r="AB69" i="2"/>
  <c r="AD49" i="2"/>
  <c r="AB49" i="2"/>
  <c r="AD26" i="2"/>
  <c r="AB26" i="2"/>
  <c r="AD62" i="2"/>
  <c r="AB62" i="2"/>
  <c r="AD27" i="2"/>
  <c r="AB27" i="2"/>
  <c r="AD75" i="2"/>
  <c r="AB75" i="2"/>
  <c r="AD66" i="2"/>
  <c r="AB66" i="2"/>
  <c r="AD6" i="2"/>
  <c r="AB6" i="2"/>
  <c r="AD43" i="2"/>
  <c r="AB43" i="2"/>
  <c r="AD7" i="2"/>
  <c r="AB7" i="2"/>
  <c r="AD52" i="2"/>
  <c r="AB52" i="2"/>
  <c r="AD10" i="2"/>
  <c r="AB10" i="2"/>
  <c r="AD34" i="2"/>
  <c r="AB34" i="2"/>
  <c r="AD39" i="2"/>
  <c r="AB39" i="2"/>
  <c r="AD45" i="2"/>
  <c r="AB45" i="2"/>
  <c r="AD11" i="2"/>
  <c r="AB11" i="2"/>
  <c r="AD48" i="2"/>
  <c r="AB48" i="2"/>
  <c r="AD55" i="2"/>
  <c r="AB55" i="2"/>
  <c r="AD58" i="2"/>
  <c r="AB58" i="2"/>
  <c r="AD72" i="2"/>
  <c r="AB72" i="2"/>
  <c r="AD41" i="2"/>
  <c r="AB41" i="2"/>
  <c r="AD29" i="2"/>
  <c r="AB29" i="2"/>
  <c r="AD35" i="2"/>
  <c r="AB35" i="2"/>
  <c r="AD17" i="2"/>
  <c r="AB17" i="2"/>
  <c r="AD60" i="2"/>
  <c r="AB60" i="2"/>
  <c r="AD28" i="2"/>
  <c r="AB28" i="2"/>
  <c r="AD3" i="2"/>
  <c r="AB3" i="2"/>
  <c r="AD65" i="2"/>
  <c r="AB65" i="2"/>
  <c r="AD47" i="2"/>
  <c r="AE56" i="2"/>
  <c r="AH56" i="2" s="1"/>
  <c r="AC2" i="2"/>
  <c r="AF2" i="2" s="1"/>
  <c r="X28" i="2"/>
  <c r="X30" i="2"/>
  <c r="AE21" i="2"/>
  <c r="AH21" i="2" s="1"/>
  <c r="AE73" i="2"/>
  <c r="AH73" i="2" s="1"/>
  <c r="AE76" i="2"/>
  <c r="AH76" i="2" s="1"/>
  <c r="AC76" i="2"/>
  <c r="AF76" i="2" s="1"/>
  <c r="AE54" i="2"/>
  <c r="AH54" i="2" s="1"/>
  <c r="AC54" i="2"/>
  <c r="AF54" i="2" s="1"/>
  <c r="AC68" i="2"/>
  <c r="AF68" i="2" s="1"/>
  <c r="AE68" i="2"/>
  <c r="AH68" i="2" s="1"/>
  <c r="V20" i="2"/>
  <c r="AB20" i="2" s="1"/>
  <c r="X9" i="2"/>
  <c r="X60" i="2"/>
  <c r="X47" i="2"/>
  <c r="AC47" i="2" s="1"/>
  <c r="AF47" i="2" s="1"/>
  <c r="X3" i="2"/>
  <c r="X40" i="2"/>
  <c r="X59" i="2"/>
  <c r="X17" i="2"/>
  <c r="X32" i="2"/>
  <c r="AH2" i="2"/>
  <c r="X18" i="2"/>
  <c r="X13" i="2"/>
  <c r="X67" i="2"/>
  <c r="X37" i="2"/>
  <c r="AC21" i="2"/>
  <c r="AF21" i="2" s="1"/>
  <c r="AC53" i="2"/>
  <c r="AF53" i="2" s="1"/>
  <c r="AE53" i="2"/>
  <c r="AH53" i="2" s="1"/>
  <c r="X49" i="2"/>
  <c r="X26" i="2"/>
  <c r="X62" i="2"/>
  <c r="X27" i="2"/>
  <c r="X75" i="2"/>
  <c r="X66" i="2"/>
  <c r="X6" i="2"/>
  <c r="X43" i="2"/>
  <c r="X7" i="2"/>
  <c r="AC73" i="2"/>
  <c r="AF73" i="2" s="1"/>
  <c r="X52" i="2"/>
  <c r="X10" i="2"/>
  <c r="X50" i="2"/>
  <c r="X39" i="2"/>
  <c r="X11" i="2"/>
  <c r="X48" i="2"/>
  <c r="X55" i="2"/>
  <c r="X58" i="2"/>
  <c r="X72" i="2"/>
  <c r="X41" i="2"/>
  <c r="X29" i="2"/>
  <c r="X35" i="2"/>
  <c r="X71" i="2"/>
  <c r="X65" i="2"/>
  <c r="X57" i="2"/>
  <c r="X61" i="2"/>
  <c r="X5" i="2"/>
  <c r="X69" i="2"/>
  <c r="AC56" i="2"/>
  <c r="AF56" i="2" s="1"/>
  <c r="X74" i="2"/>
  <c r="X42" i="2"/>
  <c r="X19" i="2"/>
  <c r="X70" i="2"/>
  <c r="X8" i="2"/>
  <c r="X25" i="2"/>
  <c r="X22" i="2"/>
  <c r="X16" i="2"/>
  <c r="X23" i="2"/>
  <c r="X4" i="2"/>
  <c r="X33" i="2"/>
  <c r="X36" i="2"/>
  <c r="X31" i="2"/>
  <c r="X12" i="2"/>
  <c r="X34" i="2"/>
  <c r="X45" i="2"/>
  <c r="X14" i="2"/>
  <c r="X63" i="2"/>
  <c r="X38" i="2"/>
  <c r="X46" i="2"/>
  <c r="X51" i="2"/>
  <c r="X15" i="2"/>
  <c r="X64" i="2"/>
  <c r="X24" i="2"/>
  <c r="X44" i="2"/>
  <c r="AE28" i="2" l="1"/>
  <c r="AH28" i="2" s="1"/>
  <c r="AC30" i="2"/>
  <c r="AF30" i="2" s="1"/>
  <c r="AE30" i="2"/>
  <c r="AH30" i="2" s="1"/>
  <c r="AD20" i="2"/>
  <c r="AC40" i="2"/>
  <c r="AF40" i="2" s="1"/>
  <c r="AE9" i="2"/>
  <c r="AH9" i="2" s="1"/>
  <c r="AC28" i="2"/>
  <c r="AF28" i="2" s="1"/>
  <c r="AE59" i="2"/>
  <c r="AH59" i="2" s="1"/>
  <c r="AE17" i="2"/>
  <c r="AH17" i="2" s="1"/>
  <c r="X20" i="2"/>
  <c r="AG56" i="2"/>
  <c r="AG54" i="2"/>
  <c r="AG68" i="2"/>
  <c r="AG73" i="2"/>
  <c r="AG76" i="2"/>
  <c r="AG53" i="2"/>
  <c r="AG21" i="2"/>
  <c r="AG2" i="2"/>
  <c r="AC9" i="2"/>
  <c r="AF9" i="2" s="1"/>
  <c r="AE47" i="2"/>
  <c r="AH47" i="2" s="1"/>
  <c r="AG47" i="2" s="1"/>
  <c r="AE40" i="2"/>
  <c r="AH40" i="2" s="1"/>
  <c r="AC17" i="2"/>
  <c r="AF17" i="2" s="1"/>
  <c r="AC59" i="2"/>
  <c r="AF59" i="2" s="1"/>
  <c r="AC44" i="2"/>
  <c r="AF44" i="2" s="1"/>
  <c r="AE44" i="2"/>
  <c r="AH44" i="2" s="1"/>
  <c r="AE24" i="2"/>
  <c r="AH24" i="2" s="1"/>
  <c r="AC24" i="2"/>
  <c r="AF24" i="2" s="1"/>
  <c r="AC15" i="2"/>
  <c r="AF15" i="2" s="1"/>
  <c r="AE15" i="2"/>
  <c r="AH15" i="2" s="1"/>
  <c r="AC46" i="2"/>
  <c r="AF46" i="2" s="1"/>
  <c r="AE46" i="2"/>
  <c r="AH46" i="2" s="1"/>
  <c r="AC63" i="2"/>
  <c r="AF63" i="2" s="1"/>
  <c r="AE63" i="2"/>
  <c r="AH63" i="2" s="1"/>
  <c r="AC45" i="2"/>
  <c r="AF45" i="2" s="1"/>
  <c r="AE45" i="2"/>
  <c r="AH45" i="2" s="1"/>
  <c r="AC12" i="2"/>
  <c r="AF12" i="2" s="1"/>
  <c r="AE12" i="2"/>
  <c r="AH12" i="2" s="1"/>
  <c r="AE4" i="2"/>
  <c r="AH4" i="2" s="1"/>
  <c r="AC4" i="2"/>
  <c r="AF4" i="2" s="1"/>
  <c r="AC25" i="2"/>
  <c r="AF25" i="2" s="1"/>
  <c r="AE25" i="2"/>
  <c r="AH25" i="2" s="1"/>
  <c r="AE70" i="2"/>
  <c r="AH70" i="2" s="1"/>
  <c r="AC70" i="2"/>
  <c r="AF70" i="2" s="1"/>
  <c r="AC74" i="2"/>
  <c r="AF74" i="2" s="1"/>
  <c r="AE74" i="2"/>
  <c r="AH74" i="2" s="1"/>
  <c r="AE69" i="2"/>
  <c r="AH69" i="2" s="1"/>
  <c r="AC69" i="2"/>
  <c r="AF69" i="2" s="1"/>
  <c r="AC61" i="2"/>
  <c r="AF61" i="2" s="1"/>
  <c r="AE61" i="2"/>
  <c r="AH61" i="2" s="1"/>
  <c r="AE57" i="2"/>
  <c r="AH57" i="2" s="1"/>
  <c r="AC57" i="2"/>
  <c r="AF57" i="2" s="1"/>
  <c r="AE65" i="2"/>
  <c r="AH65" i="2" s="1"/>
  <c r="AC65" i="2"/>
  <c r="AF65" i="2" s="1"/>
  <c r="AE41" i="2"/>
  <c r="AH41" i="2" s="1"/>
  <c r="AC41" i="2"/>
  <c r="AF41" i="2" s="1"/>
  <c r="AE48" i="2"/>
  <c r="AH48" i="2" s="1"/>
  <c r="AC48" i="2"/>
  <c r="AF48" i="2" s="1"/>
  <c r="AE11" i="2"/>
  <c r="AH11" i="2" s="1"/>
  <c r="AC11" i="2"/>
  <c r="AF11" i="2" s="1"/>
  <c r="AC50" i="2"/>
  <c r="AF50" i="2" s="1"/>
  <c r="AE50" i="2"/>
  <c r="AH50" i="2" s="1"/>
  <c r="AC10" i="2"/>
  <c r="AF10" i="2" s="1"/>
  <c r="AE10" i="2"/>
  <c r="AH10" i="2" s="1"/>
  <c r="AE52" i="2"/>
  <c r="AH52" i="2" s="1"/>
  <c r="AC52" i="2"/>
  <c r="AF52" i="2" s="1"/>
  <c r="AE7" i="2"/>
  <c r="AH7" i="2" s="1"/>
  <c r="AC7" i="2"/>
  <c r="AF7" i="2" s="1"/>
  <c r="AC6" i="2"/>
  <c r="AF6" i="2" s="1"/>
  <c r="AE6" i="2"/>
  <c r="AH6" i="2" s="1"/>
  <c r="AE66" i="2"/>
  <c r="AH66" i="2" s="1"/>
  <c r="AC66" i="2"/>
  <c r="AF66" i="2" s="1"/>
  <c r="AC75" i="2"/>
  <c r="AF75" i="2" s="1"/>
  <c r="AE75" i="2"/>
  <c r="AH75" i="2" s="1"/>
  <c r="AC62" i="2"/>
  <c r="AF62" i="2" s="1"/>
  <c r="AE62" i="2"/>
  <c r="AH62" i="2" s="1"/>
  <c r="AE49" i="2"/>
  <c r="AH49" i="2" s="1"/>
  <c r="AC49" i="2"/>
  <c r="AF49" i="2" s="1"/>
  <c r="AE67" i="2"/>
  <c r="AH67" i="2" s="1"/>
  <c r="AC67" i="2"/>
  <c r="AF67" i="2" s="1"/>
  <c r="AE13" i="2"/>
  <c r="AH13" i="2" s="1"/>
  <c r="AC13" i="2"/>
  <c r="AF13" i="2" s="1"/>
  <c r="AC18" i="2"/>
  <c r="AF18" i="2" s="1"/>
  <c r="AE18" i="2"/>
  <c r="AH18" i="2" s="1"/>
  <c r="AE32" i="2"/>
  <c r="AH32" i="2" s="1"/>
  <c r="AC32" i="2"/>
  <c r="AF32" i="2" s="1"/>
  <c r="AC64" i="2"/>
  <c r="AF64" i="2" s="1"/>
  <c r="AE64" i="2"/>
  <c r="AH64" i="2" s="1"/>
  <c r="AE51" i="2"/>
  <c r="AH51" i="2" s="1"/>
  <c r="AC51" i="2"/>
  <c r="AF51" i="2" s="1"/>
  <c r="AC38" i="2"/>
  <c r="AF38" i="2" s="1"/>
  <c r="AE38" i="2"/>
  <c r="AH38" i="2" s="1"/>
  <c r="AE14" i="2"/>
  <c r="AH14" i="2" s="1"/>
  <c r="AC14" i="2"/>
  <c r="AF14" i="2" s="1"/>
  <c r="AE34" i="2"/>
  <c r="AH34" i="2" s="1"/>
  <c r="AC34" i="2"/>
  <c r="AF34" i="2" s="1"/>
  <c r="AE31" i="2"/>
  <c r="AH31" i="2" s="1"/>
  <c r="AC31" i="2"/>
  <c r="AF31" i="2" s="1"/>
  <c r="AC36" i="2"/>
  <c r="AF36" i="2" s="1"/>
  <c r="AE36" i="2"/>
  <c r="AH36" i="2" s="1"/>
  <c r="AC33" i="2"/>
  <c r="AF33" i="2" s="1"/>
  <c r="AE33" i="2"/>
  <c r="AH33" i="2" s="1"/>
  <c r="AE23" i="2"/>
  <c r="AH23" i="2" s="1"/>
  <c r="AC23" i="2"/>
  <c r="AF23" i="2" s="1"/>
  <c r="AC16" i="2"/>
  <c r="AF16" i="2" s="1"/>
  <c r="AE16" i="2"/>
  <c r="AH16" i="2" s="1"/>
  <c r="AC22" i="2"/>
  <c r="AF22" i="2" s="1"/>
  <c r="AE22" i="2"/>
  <c r="AH22" i="2" s="1"/>
  <c r="AC8" i="2"/>
  <c r="AF8" i="2" s="1"/>
  <c r="AE8" i="2"/>
  <c r="AH8" i="2" s="1"/>
  <c r="AC19" i="2"/>
  <c r="AF19" i="2" s="1"/>
  <c r="AE19" i="2"/>
  <c r="AH19" i="2" s="1"/>
  <c r="AE42" i="2"/>
  <c r="AH42" i="2" s="1"/>
  <c r="AC42" i="2"/>
  <c r="AF42" i="2" s="1"/>
  <c r="AE5" i="2"/>
  <c r="AH5" i="2" s="1"/>
  <c r="AC5" i="2"/>
  <c r="AF5" i="2" s="1"/>
  <c r="AE71" i="2"/>
  <c r="AH71" i="2" s="1"/>
  <c r="AC71" i="2"/>
  <c r="AF71" i="2" s="1"/>
  <c r="AC35" i="2"/>
  <c r="AF35" i="2" s="1"/>
  <c r="AE35" i="2"/>
  <c r="AH35" i="2" s="1"/>
  <c r="AC29" i="2"/>
  <c r="AF29" i="2" s="1"/>
  <c r="AE29" i="2"/>
  <c r="AH29" i="2" s="1"/>
  <c r="AE72" i="2"/>
  <c r="AH72" i="2" s="1"/>
  <c r="AC72" i="2"/>
  <c r="AF72" i="2" s="1"/>
  <c r="AC58" i="2"/>
  <c r="AF58" i="2" s="1"/>
  <c r="AE58" i="2"/>
  <c r="AH58" i="2" s="1"/>
  <c r="AC55" i="2"/>
  <c r="AF55" i="2" s="1"/>
  <c r="AE55" i="2"/>
  <c r="AH55" i="2" s="1"/>
  <c r="AE39" i="2"/>
  <c r="AH39" i="2" s="1"/>
  <c r="AC39" i="2"/>
  <c r="AF39" i="2" s="1"/>
  <c r="AC43" i="2"/>
  <c r="AF43" i="2" s="1"/>
  <c r="AE43" i="2"/>
  <c r="AH43" i="2" s="1"/>
  <c r="AC27" i="2"/>
  <c r="AF27" i="2" s="1"/>
  <c r="AE27" i="2"/>
  <c r="AH27" i="2" s="1"/>
  <c r="AC26" i="2"/>
  <c r="AF26" i="2" s="1"/>
  <c r="AE26" i="2"/>
  <c r="AH26" i="2" s="1"/>
  <c r="AE37" i="2"/>
  <c r="AH37" i="2" s="1"/>
  <c r="AC37" i="2"/>
  <c r="AF37" i="2" s="1"/>
  <c r="AG28" i="2" l="1"/>
  <c r="AG30" i="2"/>
  <c r="AE20" i="2"/>
  <c r="AH20" i="2" s="1"/>
  <c r="AG40" i="2"/>
  <c r="AG9" i="2"/>
  <c r="AE60" i="2"/>
  <c r="AH60" i="2" s="1"/>
  <c r="AC60" i="2"/>
  <c r="AF60" i="2" s="1"/>
  <c r="AE3" i="2"/>
  <c r="AH3" i="2" s="1"/>
  <c r="AC3" i="2"/>
  <c r="AF3" i="2" s="1"/>
  <c r="AG59" i="2"/>
  <c r="AC20" i="2"/>
  <c r="AF20" i="2" s="1"/>
  <c r="AG17" i="2"/>
  <c r="AG26" i="2"/>
  <c r="AG27" i="2"/>
  <c r="AG43" i="2"/>
  <c r="AG55" i="2"/>
  <c r="AG58" i="2"/>
  <c r="AG29" i="2"/>
  <c r="AG35" i="2"/>
  <c r="AG19" i="2"/>
  <c r="AG8" i="2"/>
  <c r="AG22" i="2"/>
  <c r="AG16" i="2"/>
  <c r="AG33" i="2"/>
  <c r="AG36" i="2"/>
  <c r="AG38" i="2"/>
  <c r="AG64" i="2"/>
  <c r="AG18" i="2"/>
  <c r="AG62" i="2"/>
  <c r="AG75" i="2"/>
  <c r="AG6" i="2"/>
  <c r="AG10" i="2"/>
  <c r="AG50" i="2"/>
  <c r="AG61" i="2"/>
  <c r="AG74" i="2"/>
  <c r="AG25" i="2"/>
  <c r="AG12" i="2"/>
  <c r="AG45" i="2"/>
  <c r="AG63" i="2"/>
  <c r="AG46" i="2"/>
  <c r="AG15" i="2"/>
  <c r="AG44" i="2"/>
  <c r="AG37" i="2"/>
  <c r="AG39" i="2"/>
  <c r="AG72" i="2"/>
  <c r="AG71" i="2"/>
  <c r="AG5" i="2"/>
  <c r="AG42" i="2"/>
  <c r="AG23" i="2"/>
  <c r="AG31" i="2"/>
  <c r="AG34" i="2"/>
  <c r="AG14" i="2"/>
  <c r="AG51" i="2"/>
  <c r="AG32" i="2"/>
  <c r="AG13" i="2"/>
  <c r="AG67" i="2"/>
  <c r="AG49" i="2"/>
  <c r="AG66" i="2"/>
  <c r="AG7" i="2"/>
  <c r="AG52" i="2"/>
  <c r="AG11" i="2"/>
  <c r="AG48" i="2"/>
  <c r="AG41" i="2"/>
  <c r="AG65" i="2"/>
  <c r="AG57" i="2"/>
  <c r="AG69" i="2"/>
  <c r="AG70" i="2"/>
  <c r="AG4" i="2"/>
  <c r="AG24" i="2"/>
  <c r="AG20" i="2" l="1"/>
  <c r="AH77" i="2"/>
  <c r="AC74" i="1" s="1"/>
  <c r="AB141" i="1" s="1"/>
  <c r="AF77" i="2"/>
  <c r="AC72" i="1" s="1"/>
  <c r="AD74" i="1" s="1"/>
  <c r="AG60" i="2"/>
  <c r="AG3" i="2"/>
  <c r="AB143" i="1" l="1"/>
  <c r="I143" i="1" s="1"/>
  <c r="T78" i="1"/>
  <c r="AB80" i="1" s="1"/>
  <c r="Y70" i="1"/>
  <c r="U127" i="1" l="1"/>
  <c r="Z130" i="1" s="1"/>
  <c r="AE118" i="1"/>
  <c r="AC121" i="1" s="1"/>
  <c r="Z123" i="1" s="1"/>
  <c r="AH83" i="1"/>
  <c r="AF89" i="1" l="1"/>
  <c r="AD91" i="1" s="1"/>
  <c r="AF95" i="1"/>
  <c r="AD97" i="1" s="1"/>
  <c r="AE244" i="1" l="1"/>
  <c r="AD247" i="1" s="1"/>
  <c r="AE249" i="1" s="1"/>
  <c r="U155" i="1"/>
  <c r="AJ157" i="1" s="1"/>
  <c r="AB157" i="1" s="1"/>
  <c r="AE102" i="1"/>
  <c r="AF260" i="1" l="1"/>
  <c r="D260" i="1" s="1"/>
  <c r="AA247" i="1"/>
  <c r="AA251" i="1"/>
  <c r="AD107" i="1"/>
  <c r="AA170" i="1" s="1"/>
  <c r="AD104" i="1"/>
  <c r="N145" i="1" s="1"/>
  <c r="D145" i="1" s="1"/>
  <c r="N143" i="1"/>
  <c r="D143" i="1" s="1"/>
  <c r="P257" i="1" l="1"/>
  <c r="Y199" i="1"/>
  <c r="N209" i="1"/>
  <c r="D253" i="1" s="1"/>
  <c r="P115" i="1"/>
  <c r="F115" i="1" s="1"/>
  <c r="R260" i="1" l="1"/>
  <c r="E213" i="1"/>
  <c r="AH222" i="1"/>
  <c r="AH233" i="1"/>
  <c r="D218" i="1"/>
  <c r="F220" i="1" s="1"/>
  <c r="F230" i="1"/>
  <c r="B211" i="1"/>
  <c r="AJ179" i="1"/>
  <c r="B172" i="1"/>
  <c r="Z170" i="1"/>
  <c r="AH189" i="1"/>
  <c r="AC264" i="1" l="1"/>
  <c r="P264" i="1" s="1"/>
  <c r="AH262" i="1" s="1"/>
  <c r="AL262" i="1" s="1"/>
  <c r="O263" i="1" s="1"/>
  <c r="C264" i="1" s="1"/>
  <c r="R233" i="1"/>
  <c r="R235" i="1"/>
  <c r="R224" i="1"/>
  <c r="R222" i="1"/>
  <c r="AJ211" i="1"/>
  <c r="AL213" i="1"/>
  <c r="W213" i="1" s="1"/>
  <c r="AG189" i="1"/>
  <c r="B191" i="1"/>
  <c r="B181" i="1"/>
  <c r="AI179" i="1"/>
  <c r="AL264" i="1" l="1"/>
  <c r="U264" i="1" s="1"/>
  <c r="H235" i="1"/>
</calcChain>
</file>

<file path=xl/sharedStrings.xml><?xml version="1.0" encoding="utf-8"?>
<sst xmlns="http://schemas.openxmlformats.org/spreadsheetml/2006/main" count="302" uniqueCount="190">
  <si>
    <t>اتصال کاهش یافته با جان لوله ای (TW-RBS)</t>
  </si>
  <si>
    <t>مشخصات مصالح</t>
  </si>
  <si>
    <t>مدول الاستیسیته</t>
  </si>
  <si>
    <t>ضریب پواسون</t>
  </si>
  <si>
    <t>ν</t>
  </si>
  <si>
    <t>تنش تسلیم</t>
  </si>
  <si>
    <t>مقاومت نهایی کششی</t>
  </si>
  <si>
    <t>بارگذاری</t>
  </si>
  <si>
    <t>مرده</t>
  </si>
  <si>
    <t>زنده</t>
  </si>
  <si>
    <t>مشخصات تیر سمت راست ستون</t>
  </si>
  <si>
    <t>ارتفاع مقطع</t>
  </si>
  <si>
    <r>
      <t>d</t>
    </r>
    <r>
      <rPr>
        <i/>
        <vertAlign val="subscript"/>
        <sz val="12"/>
        <color theme="1"/>
        <rFont val="Times New Roman"/>
        <family val="1"/>
      </rPr>
      <t>b</t>
    </r>
    <r>
      <rPr>
        <i/>
        <sz val="12"/>
        <color theme="1"/>
        <rFont val="Times New Roman"/>
        <family val="1"/>
      </rPr>
      <t xml:space="preserve"> (cm)</t>
    </r>
  </si>
  <si>
    <t>عرض مقطع</t>
  </si>
  <si>
    <r>
      <t>b</t>
    </r>
    <r>
      <rPr>
        <i/>
        <vertAlign val="subscript"/>
        <sz val="12"/>
        <color theme="1"/>
        <rFont val="Times New Roman"/>
        <family val="1"/>
      </rPr>
      <t xml:space="preserve">bf </t>
    </r>
    <r>
      <rPr>
        <i/>
        <sz val="12"/>
        <color theme="1"/>
        <rFont val="Times New Roman"/>
        <family val="1"/>
      </rPr>
      <t>(cm)</t>
    </r>
  </si>
  <si>
    <t>ضخامت جان</t>
  </si>
  <si>
    <r>
      <t>t</t>
    </r>
    <r>
      <rPr>
        <i/>
        <vertAlign val="subscript"/>
        <sz val="12"/>
        <color theme="1"/>
        <rFont val="Times New Roman"/>
        <family val="1"/>
      </rPr>
      <t xml:space="preserve">bw </t>
    </r>
    <r>
      <rPr>
        <i/>
        <sz val="12"/>
        <color theme="1"/>
        <rFont val="Times New Roman"/>
        <family val="1"/>
      </rPr>
      <t>(cm)</t>
    </r>
  </si>
  <si>
    <t>ضخامت بال</t>
  </si>
  <si>
    <r>
      <t>t</t>
    </r>
    <r>
      <rPr>
        <i/>
        <vertAlign val="subscript"/>
        <sz val="12"/>
        <color theme="1"/>
        <rFont val="Times New Roman"/>
        <family val="1"/>
      </rPr>
      <t xml:space="preserve">bf </t>
    </r>
    <r>
      <rPr>
        <i/>
        <sz val="12"/>
        <color theme="1"/>
        <rFont val="Times New Roman"/>
        <family val="1"/>
      </rPr>
      <t>(cm)</t>
    </r>
  </si>
  <si>
    <t>شعاع ژیراسیون حول محور y</t>
  </si>
  <si>
    <r>
      <t>r</t>
    </r>
    <r>
      <rPr>
        <i/>
        <vertAlign val="subscript"/>
        <sz val="12"/>
        <color theme="1"/>
        <rFont val="Times New Roman"/>
        <family val="1"/>
      </rPr>
      <t xml:space="preserve">yb </t>
    </r>
    <r>
      <rPr>
        <i/>
        <sz val="12"/>
        <color theme="1"/>
        <rFont val="Times New Roman"/>
        <family val="1"/>
      </rPr>
      <t>(cm)</t>
    </r>
  </si>
  <si>
    <t>سطح خارج بال تا انتهای ماهیچه</t>
  </si>
  <si>
    <r>
      <t>k</t>
    </r>
    <r>
      <rPr>
        <i/>
        <vertAlign val="subscript"/>
        <sz val="12"/>
        <color theme="1"/>
        <rFont val="Times New Roman"/>
        <family val="1"/>
      </rPr>
      <t>b</t>
    </r>
    <r>
      <rPr>
        <i/>
        <sz val="12"/>
        <color theme="1"/>
        <rFont val="Times New Roman"/>
        <family val="1"/>
      </rPr>
      <t xml:space="preserve"> (cm)</t>
    </r>
  </si>
  <si>
    <t>اساس مقطع پلاستیک تیر</t>
  </si>
  <si>
    <t>طول دهانه آزاد تیر</t>
  </si>
  <si>
    <t>بار محوری</t>
  </si>
  <si>
    <t>مشخصات ستون بالای اتصال</t>
  </si>
  <si>
    <r>
      <t>d</t>
    </r>
    <r>
      <rPr>
        <i/>
        <vertAlign val="subscript"/>
        <sz val="12"/>
        <color theme="1"/>
        <rFont val="Times New Roman"/>
        <family val="1"/>
      </rPr>
      <t>c</t>
    </r>
    <r>
      <rPr>
        <i/>
        <sz val="12"/>
        <color theme="1"/>
        <rFont val="Times New Roman"/>
        <family val="1"/>
      </rPr>
      <t xml:space="preserve"> (cm)</t>
    </r>
  </si>
  <si>
    <r>
      <t>b</t>
    </r>
    <r>
      <rPr>
        <i/>
        <vertAlign val="subscript"/>
        <sz val="12"/>
        <color theme="1"/>
        <rFont val="Times New Roman"/>
        <family val="1"/>
      </rPr>
      <t xml:space="preserve">cf </t>
    </r>
    <r>
      <rPr>
        <i/>
        <sz val="12"/>
        <color theme="1"/>
        <rFont val="Times New Roman"/>
        <family val="1"/>
      </rPr>
      <t>(cm)</t>
    </r>
  </si>
  <si>
    <r>
      <t>t</t>
    </r>
    <r>
      <rPr>
        <i/>
        <vertAlign val="subscript"/>
        <sz val="12"/>
        <color theme="1"/>
        <rFont val="Times New Roman"/>
        <family val="1"/>
      </rPr>
      <t xml:space="preserve">cw </t>
    </r>
    <r>
      <rPr>
        <i/>
        <sz val="12"/>
        <color theme="1"/>
        <rFont val="Times New Roman"/>
        <family val="1"/>
      </rPr>
      <t>(cm)</t>
    </r>
  </si>
  <si>
    <r>
      <t>t</t>
    </r>
    <r>
      <rPr>
        <i/>
        <vertAlign val="subscript"/>
        <sz val="12"/>
        <color theme="1"/>
        <rFont val="Times New Roman"/>
        <family val="1"/>
      </rPr>
      <t xml:space="preserve">cf </t>
    </r>
    <r>
      <rPr>
        <i/>
        <sz val="12"/>
        <color theme="1"/>
        <rFont val="Times New Roman"/>
        <family val="1"/>
      </rPr>
      <t>(cm)</t>
    </r>
  </si>
  <si>
    <r>
      <t>k</t>
    </r>
    <r>
      <rPr>
        <i/>
        <vertAlign val="subscript"/>
        <sz val="12"/>
        <color theme="1"/>
        <rFont val="Times New Roman"/>
        <family val="1"/>
      </rPr>
      <t>c</t>
    </r>
    <r>
      <rPr>
        <i/>
        <sz val="12"/>
        <color theme="1"/>
        <rFont val="Times New Roman"/>
        <family val="1"/>
      </rPr>
      <t xml:space="preserve"> (cm)</t>
    </r>
  </si>
  <si>
    <t>اساس مقطع پلاستیک ستون</t>
  </si>
  <si>
    <t>ارتفاع ستون</t>
  </si>
  <si>
    <r>
      <t>H</t>
    </r>
    <r>
      <rPr>
        <i/>
        <vertAlign val="subscript"/>
        <sz val="12"/>
        <color theme="1"/>
        <rFont val="Times New Roman"/>
        <family val="1"/>
      </rPr>
      <t>t</t>
    </r>
    <r>
      <rPr>
        <i/>
        <sz val="12"/>
        <color theme="1"/>
        <rFont val="Times New Roman"/>
        <family val="1"/>
      </rPr>
      <t xml:space="preserve"> (cm)</t>
    </r>
  </si>
  <si>
    <t>بار محوری ناشی از بار مرده</t>
  </si>
  <si>
    <t>بار محوری ناشی از بار زنده</t>
  </si>
  <si>
    <t>بار محوری ناشی از بار زلزله</t>
  </si>
  <si>
    <r>
      <t>L</t>
    </r>
    <r>
      <rPr>
        <i/>
        <vertAlign val="subscript"/>
        <sz val="11"/>
        <color theme="1"/>
        <rFont val="Times New Roman"/>
        <family val="1"/>
      </rPr>
      <t>beam</t>
    </r>
    <r>
      <rPr>
        <i/>
        <sz val="11"/>
        <color theme="1"/>
        <rFont val="Times New Roman"/>
        <family val="1"/>
      </rPr>
      <t xml:space="preserve"> (cm)</t>
    </r>
  </si>
  <si>
    <t>مشخصات الکترود</t>
  </si>
  <si>
    <t>الکترود</t>
  </si>
  <si>
    <t>تنش نهایی فلز الکترود</t>
  </si>
  <si>
    <t>مشخصات تیر سمت چپ ستون</t>
  </si>
  <si>
    <t>مشخصات ستون پایین اتصال</t>
  </si>
  <si>
    <t>2-1- فشردگی لرزه ای:</t>
  </si>
  <si>
    <t>2- تعیین اندازه های اولیه مقطع کاهش یافته:</t>
  </si>
  <si>
    <t>1- الزامات لرزه ای تیر وستون:</t>
  </si>
  <si>
    <t>1-1- محدودیت ابعادی:</t>
  </si>
  <si>
    <t>3- محاسبه حداکثر لنگر خمشی متحمل در مرکز کاهش یافته تیر:</t>
  </si>
  <si>
    <t>4- محاسبه مقاومت خمشی و برشی مورد نیاز:</t>
  </si>
  <si>
    <t>9- تعیین مشخصات ورق پیوستگی:</t>
  </si>
  <si>
    <t>1-9- کنترل خمش موضعی بال ستون در مقابل نیروی متمرکز کششی:</t>
  </si>
  <si>
    <t>2-9- کنترل تسلیم موضعی جان ستون بدون سخت کننده:</t>
  </si>
  <si>
    <t>3-9- کنترل لهیدگی جان ستون بدون سخت کننده:</t>
  </si>
  <si>
    <t>4-9- طراحی ورق های پیوستگی:</t>
  </si>
  <si>
    <t>ضریب بازرسی جوش</t>
  </si>
  <si>
    <t>β</t>
  </si>
  <si>
    <t>5-9- طراحی ورق های مضاعف:</t>
  </si>
  <si>
    <t>,</t>
  </si>
  <si>
    <t>tc</t>
  </si>
  <si>
    <t>D</t>
  </si>
  <si>
    <t>Zp</t>
  </si>
  <si>
    <t>D cm</t>
  </si>
  <si>
    <t>tc cm</t>
  </si>
  <si>
    <t>mf</t>
  </si>
  <si>
    <t>mn</t>
  </si>
  <si>
    <t>vu</t>
  </si>
  <si>
    <t>vpr</t>
  </si>
  <si>
    <t>vh</t>
  </si>
  <si>
    <t>lb/lh</t>
  </si>
  <si>
    <t>vf</t>
  </si>
  <si>
    <t>vnf</t>
  </si>
  <si>
    <t>vnt</t>
  </si>
  <si>
    <t>cm</t>
  </si>
  <si>
    <r>
      <rPr>
        <sz val="11"/>
        <color theme="1"/>
        <rFont val="Calibri"/>
        <family val="2"/>
        <scheme val="minor"/>
      </rPr>
      <t>cm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</si>
  <si>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Z</t>
    </r>
    <r>
      <rPr>
        <i/>
        <vertAlign val="subscript"/>
        <sz val="12"/>
        <color theme="1"/>
        <rFont val="Times New Roman"/>
        <family val="1"/>
      </rPr>
      <t>c</t>
    </r>
    <r>
      <rPr>
        <i/>
        <sz val="12"/>
        <color theme="1"/>
        <rFont val="Times New Roman"/>
        <family val="1"/>
      </rPr>
      <t xml:space="preserve"> (cm</t>
    </r>
    <r>
      <rPr>
        <i/>
        <vertAlign val="superscript"/>
        <sz val="12"/>
        <color theme="1"/>
        <rFont val="Times New Roman"/>
        <family val="1"/>
      </rPr>
      <t>3</t>
    </r>
    <r>
      <rPr>
        <i/>
        <sz val="12"/>
        <color theme="1"/>
        <rFont val="Times New Roman"/>
        <family val="1"/>
      </rPr>
      <t>)</t>
    </r>
  </si>
  <si>
    <r>
      <t>Z</t>
    </r>
    <r>
      <rPr>
        <i/>
        <vertAlign val="subscript"/>
        <sz val="12"/>
        <color theme="1"/>
        <rFont val="Times New Roman"/>
        <family val="1"/>
      </rPr>
      <t>b</t>
    </r>
    <r>
      <rPr>
        <i/>
        <sz val="12"/>
        <color theme="1"/>
        <rFont val="Times New Roman"/>
        <family val="1"/>
      </rPr>
      <t xml:space="preserve"> (cm</t>
    </r>
    <r>
      <rPr>
        <i/>
        <vertAlign val="superscript"/>
        <sz val="12"/>
        <color theme="1"/>
        <rFont val="Times New Roman"/>
        <family val="1"/>
      </rPr>
      <t>3</t>
    </r>
    <r>
      <rPr>
        <i/>
        <sz val="12"/>
        <color theme="1"/>
        <rFont val="Times New Roman"/>
        <family val="1"/>
      </rPr>
      <t>)</t>
    </r>
  </si>
  <si>
    <r>
      <t>F</t>
    </r>
    <r>
      <rPr>
        <i/>
        <vertAlign val="subscript"/>
        <sz val="11"/>
        <color theme="1"/>
        <rFont val="Times New Roman"/>
        <family val="1"/>
      </rPr>
      <t>ue</t>
    </r>
    <r>
      <rPr>
        <i/>
        <sz val="11"/>
        <color theme="1"/>
        <rFont val="Times New Roman"/>
        <family val="1"/>
      </rPr>
      <t xml:space="preserve"> (kg/cm</t>
    </r>
    <r>
      <rPr>
        <i/>
        <vertAlign val="superscript"/>
        <sz val="11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)</t>
    </r>
  </si>
  <si>
    <r>
      <t>E (kg/cm</t>
    </r>
    <r>
      <rPr>
        <i/>
        <vertAlign val="superscript"/>
        <sz val="11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)</t>
    </r>
  </si>
  <si>
    <r>
      <t>F</t>
    </r>
    <r>
      <rPr>
        <i/>
        <vertAlign val="subscript"/>
        <sz val="11"/>
        <color theme="1"/>
        <rFont val="Times New Roman"/>
        <family val="1"/>
      </rPr>
      <t>y</t>
    </r>
    <r>
      <rPr>
        <i/>
        <sz val="11"/>
        <color theme="1"/>
        <rFont val="Times New Roman"/>
        <family val="1"/>
      </rPr>
      <t xml:space="preserve"> (kg/cm</t>
    </r>
    <r>
      <rPr>
        <i/>
        <vertAlign val="superscript"/>
        <sz val="11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)</t>
    </r>
  </si>
  <si>
    <r>
      <t>F</t>
    </r>
    <r>
      <rPr>
        <i/>
        <vertAlign val="subscript"/>
        <sz val="11"/>
        <color theme="1"/>
        <rFont val="Times New Roman"/>
        <family val="1"/>
      </rPr>
      <t>u</t>
    </r>
    <r>
      <rPr>
        <i/>
        <sz val="11"/>
        <color theme="1"/>
        <rFont val="Times New Roman"/>
        <family val="1"/>
      </rPr>
      <t xml:space="preserve"> (kg/cm</t>
    </r>
    <r>
      <rPr>
        <i/>
        <vertAlign val="superscript"/>
        <sz val="11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)</t>
    </r>
  </si>
  <si>
    <t>Use 33.7*2.6</t>
  </si>
  <si>
    <t>Use 33.7*3.2</t>
  </si>
  <si>
    <t>Use 33.7*4</t>
  </si>
  <si>
    <t>Use 42.4*2.6</t>
  </si>
  <si>
    <t>Use 42.4*3.2</t>
  </si>
  <si>
    <t>Use 42.4*4</t>
  </si>
  <si>
    <t>Use 48.3*2.6</t>
  </si>
  <si>
    <t>Use 48.3*3.2</t>
  </si>
  <si>
    <t>Use 48.3*4</t>
  </si>
  <si>
    <t>Use 60.3*3.2</t>
  </si>
  <si>
    <t>Use 60.3*4</t>
  </si>
  <si>
    <t>Use 60.3*5</t>
  </si>
  <si>
    <t>Use 76.1*3.2</t>
  </si>
  <si>
    <t>Use 76.1*4</t>
  </si>
  <si>
    <t>Use 76.1*5</t>
  </si>
  <si>
    <t>Use 88.9*3.2</t>
  </si>
  <si>
    <t>Use 88.9*4</t>
  </si>
  <si>
    <t>Use 88.9*5</t>
  </si>
  <si>
    <t>Use 88.9*6.3</t>
  </si>
  <si>
    <t>Use 101.6*4</t>
  </si>
  <si>
    <t>Use 101.6*5</t>
  </si>
  <si>
    <t>Use 101.6*6.3</t>
  </si>
  <si>
    <t>Use 114.3*4</t>
  </si>
  <si>
    <t>Use 114.3*5</t>
  </si>
  <si>
    <t>Use 114.3*8</t>
  </si>
  <si>
    <t>Use 114.3*6.3</t>
  </si>
  <si>
    <t>Use 168.3*5</t>
  </si>
  <si>
    <t>Use 168.3*6.3</t>
  </si>
  <si>
    <t>Use 168.3*8</t>
  </si>
  <si>
    <t>Use 139.7*4</t>
  </si>
  <si>
    <t>Use 139.7*5</t>
  </si>
  <si>
    <t>Use 139.7*6.3</t>
  </si>
  <si>
    <t>Use 139.7*8</t>
  </si>
  <si>
    <t>Use 139.7*12.5</t>
  </si>
  <si>
    <t>Use 168.3*10</t>
  </si>
  <si>
    <t>Use 168.3*12.5</t>
  </si>
  <si>
    <t>Use 177.8*6.3</t>
  </si>
  <si>
    <t>Use 177.8*8</t>
  </si>
  <si>
    <t>Use 177.8*10</t>
  </si>
  <si>
    <t>Use 177.8*12.5</t>
  </si>
  <si>
    <t>Use 193.7*6.3</t>
  </si>
  <si>
    <t>Use 193.7*8</t>
  </si>
  <si>
    <t>Use 193.7*10</t>
  </si>
  <si>
    <t>Use 193.7*16</t>
  </si>
  <si>
    <t>Use 244.5*6.3</t>
  </si>
  <si>
    <t>Use 244.5*8</t>
  </si>
  <si>
    <t>Use 244.5*10</t>
  </si>
  <si>
    <t>Use 244.5*12.5</t>
  </si>
  <si>
    <t>Use 273*6.3</t>
  </si>
  <si>
    <t>Use 273*8</t>
  </si>
  <si>
    <t>Use 273*10</t>
  </si>
  <si>
    <t>Use 273*12.5</t>
  </si>
  <si>
    <t>Use 323.9*8</t>
  </si>
  <si>
    <t>Use 323.9*10</t>
  </si>
  <si>
    <t>Use 323.9*12.5</t>
  </si>
  <si>
    <t>Use 355.6*8</t>
  </si>
  <si>
    <t>Use 355.6*10</t>
  </si>
  <si>
    <t>Use 355.6*12.5</t>
  </si>
  <si>
    <t>Use 355.6*25</t>
  </si>
  <si>
    <t>Use 244.5*16</t>
  </si>
  <si>
    <t>Use 244.5*20</t>
  </si>
  <si>
    <t>Use 244.5*25</t>
  </si>
  <si>
    <t>Use 273*16</t>
  </si>
  <si>
    <t>Use 273*20</t>
  </si>
  <si>
    <t>Use 273*25</t>
  </si>
  <si>
    <t>Use 323.9*20</t>
  </si>
  <si>
    <t>Use 323.9*16</t>
  </si>
  <si>
    <t>Use 323.9*25</t>
  </si>
  <si>
    <t>Use 355.6*16</t>
  </si>
  <si>
    <t>Use 355.6*20</t>
  </si>
  <si>
    <t>kN.m</t>
  </si>
  <si>
    <t>kN</t>
  </si>
  <si>
    <t>For Tube</t>
  </si>
  <si>
    <t>kN/m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</si>
  <si>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</si>
  <si>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t>D (kN/m)</t>
  </si>
  <si>
    <t>L (kN/m)</t>
  </si>
  <si>
    <t>1-4- نیروها در وجه ستون سمت راست:</t>
  </si>
  <si>
    <t>2-4- نیروها در وجه ستون سمت چپ:</t>
  </si>
  <si>
    <t>3-4- مقاومت خمشی مورد نیاز و مقاومت برشی مورد نیاز جان صاف و لوله:</t>
  </si>
  <si>
    <t>Use 219.1*6.3</t>
  </si>
  <si>
    <t>Use 219.1*8</t>
  </si>
  <si>
    <t>Use 219.1*10</t>
  </si>
  <si>
    <t>Use 219.1*16</t>
  </si>
  <si>
    <t>Use 219.1*20</t>
  </si>
  <si>
    <t>3-1-کنترل مهار جانبی تیر:</t>
  </si>
  <si>
    <t>5- طراحی تیر در محل اتصال به ستون برای خمش:</t>
  </si>
  <si>
    <t>6- کنترل تیر برای برش:</t>
  </si>
  <si>
    <t>7- کنترل نسبت لنگر خمشی ستون به لنگر خمشی تیر(تیر ضعیف-ستون قوی):</t>
  </si>
  <si>
    <t>8- کنترل چشمه اتصال:</t>
  </si>
  <si>
    <r>
      <t>P</t>
    </r>
    <r>
      <rPr>
        <i/>
        <vertAlign val="subscript"/>
        <sz val="11"/>
        <color theme="1"/>
        <rFont val="Times New Roman"/>
        <family val="1"/>
      </rPr>
      <t>u</t>
    </r>
    <r>
      <rPr>
        <i/>
        <sz val="11"/>
        <color theme="1"/>
        <rFont val="Times New Roman"/>
        <family val="1"/>
      </rPr>
      <t xml:space="preserve"> (kg)</t>
    </r>
  </si>
  <si>
    <r>
      <t>D</t>
    </r>
    <r>
      <rPr>
        <i/>
        <vertAlign val="subscript"/>
        <sz val="12"/>
        <color theme="1"/>
        <rFont val="Times New Roman"/>
        <family val="1"/>
      </rPr>
      <t>b</t>
    </r>
    <r>
      <rPr>
        <i/>
        <sz val="12"/>
        <color theme="1"/>
        <rFont val="Times New Roman"/>
        <family val="1"/>
      </rPr>
      <t xml:space="preserve"> (kg)</t>
    </r>
  </si>
  <si>
    <r>
      <t>L</t>
    </r>
    <r>
      <rPr>
        <i/>
        <vertAlign val="subscript"/>
        <sz val="12"/>
        <color theme="1"/>
        <rFont val="Times New Roman"/>
        <family val="1"/>
      </rPr>
      <t>b</t>
    </r>
    <r>
      <rPr>
        <i/>
        <sz val="12"/>
        <color theme="1"/>
        <rFont val="Times New Roman"/>
        <family val="1"/>
      </rPr>
      <t xml:space="preserve"> (kg)</t>
    </r>
  </si>
  <si>
    <r>
      <t>E</t>
    </r>
    <r>
      <rPr>
        <i/>
        <vertAlign val="subscript"/>
        <sz val="12"/>
        <color theme="1"/>
        <rFont val="Times New Roman"/>
        <family val="1"/>
      </rPr>
      <t>t</t>
    </r>
    <r>
      <rPr>
        <i/>
        <sz val="12"/>
        <color theme="1"/>
        <rFont val="Times New Roman"/>
        <family val="1"/>
      </rPr>
      <t xml:space="preserve"> (kg)</t>
    </r>
  </si>
  <si>
    <r>
      <t>P</t>
    </r>
    <r>
      <rPr>
        <i/>
        <vertAlign val="subscript"/>
        <sz val="12"/>
        <color theme="1"/>
        <rFont val="Times New Roman"/>
        <family val="1"/>
      </rPr>
      <t>u</t>
    </r>
    <r>
      <rPr>
        <i/>
        <sz val="12"/>
        <color theme="1"/>
        <rFont val="Times New Roman"/>
        <family val="1"/>
      </rPr>
      <t xml:space="preserve"> (kg)</t>
    </r>
  </si>
  <si>
    <r>
      <t>D</t>
    </r>
    <r>
      <rPr>
        <i/>
        <vertAlign val="subscript"/>
        <sz val="12"/>
        <color theme="1"/>
        <rFont val="Times New Roman"/>
        <family val="1"/>
      </rPr>
      <t>t</t>
    </r>
    <r>
      <rPr>
        <i/>
        <sz val="12"/>
        <color theme="1"/>
        <rFont val="Times New Roman"/>
        <family val="1"/>
      </rPr>
      <t xml:space="preserve"> (kg)</t>
    </r>
  </si>
  <si>
    <r>
      <t>L</t>
    </r>
    <r>
      <rPr>
        <i/>
        <vertAlign val="subscript"/>
        <sz val="12"/>
        <color theme="1"/>
        <rFont val="Times New Roman"/>
        <family val="1"/>
      </rPr>
      <t>t</t>
    </r>
    <r>
      <rPr>
        <i/>
        <sz val="12"/>
        <color theme="1"/>
        <rFont val="Times New Roman"/>
        <family val="1"/>
      </rPr>
      <t xml:space="preserve"> (kg)</t>
    </r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</si>
  <si>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</si>
  <si>
    <t>** طراحی جوش گوشه دو طرفه ورق های پیوستگی به بال ستون:</t>
  </si>
  <si>
    <t>* طراحی جوش گوشه دو طرفه ورق های پیوستگی به جان ستون:</t>
  </si>
  <si>
    <t>≤</t>
  </si>
  <si>
    <t>mm</t>
  </si>
  <si>
    <r>
      <t xml:space="preserve">از </t>
    </r>
    <r>
      <rPr>
        <b/>
        <sz val="11"/>
        <color theme="0"/>
        <rFont val="Calibri"/>
        <family val="2"/>
        <scheme val="minor"/>
      </rPr>
      <t>جوش گوشه دو طرفه</t>
    </r>
    <r>
      <rPr>
        <sz val="11"/>
        <color theme="0"/>
        <rFont val="Calibri"/>
        <family val="2"/>
        <scheme val="minor"/>
      </rPr>
      <t xml:space="preserve"> برای اتصال </t>
    </r>
    <r>
      <rPr>
        <b/>
        <sz val="11"/>
        <color theme="0"/>
        <rFont val="Calibri"/>
        <family val="2"/>
        <scheme val="minor"/>
      </rPr>
      <t>ورق پیوستگی به بال ستون</t>
    </r>
    <r>
      <rPr>
        <sz val="11"/>
        <color theme="0"/>
        <rFont val="Calibri"/>
        <family val="2"/>
        <scheme val="minor"/>
      </rPr>
      <t xml:space="preserve"> استفاده گردد</t>
    </r>
  </si>
  <si>
    <r>
      <t xml:space="preserve">از </t>
    </r>
    <r>
      <rPr>
        <b/>
        <sz val="11"/>
        <color theme="0"/>
        <rFont val="Calibri"/>
        <family val="2"/>
        <scheme val="minor"/>
      </rPr>
      <t>جوش شیاری با نفوذ کامل</t>
    </r>
    <r>
      <rPr>
        <sz val="11"/>
        <color theme="0"/>
        <rFont val="Calibri"/>
        <family val="2"/>
        <scheme val="minor"/>
      </rPr>
      <t xml:space="preserve"> برای اتصال </t>
    </r>
    <r>
      <rPr>
        <b/>
        <sz val="11"/>
        <color theme="0"/>
        <rFont val="Calibri"/>
        <family val="2"/>
        <scheme val="minor"/>
      </rPr>
      <t>ورق پیوستگی به بال ستون</t>
    </r>
    <r>
      <rPr>
        <sz val="11"/>
        <color theme="0"/>
        <rFont val="Calibri"/>
        <family val="2"/>
        <scheme val="minor"/>
      </rPr>
      <t xml:space="preserve"> استفاده گردد</t>
    </r>
  </si>
  <si>
    <t>XXX*YYY*TT</t>
  </si>
  <si>
    <t xml:space="preserve">   For CP   Use 4PL</t>
  </si>
  <si>
    <t>kg</t>
  </si>
  <si>
    <t xml:space="preserve">   For DP   Use 2PL</t>
  </si>
  <si>
    <t>فاصله ورق مضاعف از مرکز جان ستون: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</si>
</sst>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i/>
      <sz val="11"/>
      <color theme="1"/>
      <name val="Times New Roman"/>
      <family val="1"/>
    </font>
    <font>
      <i/>
      <vertAlign val="subscript"/>
      <sz val="11"/>
      <color theme="1"/>
      <name val="Times New Roman"/>
      <family val="1"/>
    </font>
    <font>
      <i/>
      <sz val="12"/>
      <color theme="1"/>
      <name val="Times New Roman"/>
      <family val="1"/>
    </font>
    <font>
      <i/>
      <vertAlign val="subscript"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i/>
      <vertAlign val="superscript"/>
      <sz val="12"/>
      <color theme="1"/>
      <name val="Times New Roman"/>
      <family val="1"/>
    </font>
    <font>
      <i/>
      <vertAlign val="superscript"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1"/>
      <color theme="1"/>
      <name val="Wingdings 2"/>
      <family val="1"/>
      <charset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Yu Gothic"/>
      <family val="2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gradientFill degree="90">
        <stop position="0">
          <color theme="4" tint="0.40000610370189521"/>
        </stop>
        <stop position="0.5">
          <color theme="0"/>
        </stop>
        <stop position="1">
          <color theme="4" tint="0.40000610370189521"/>
        </stop>
      </gradientFill>
    </fill>
    <fill>
      <gradientFill degree="90">
        <stop position="0">
          <color theme="2" tint="-9.8025452436902985E-2"/>
        </stop>
        <stop position="0.5">
          <color theme="0"/>
        </stop>
        <stop position="1">
          <color theme="2" tint="-9.8025452436902985E-2"/>
        </stop>
      </gradientFill>
    </fill>
    <fill>
      <patternFill patternType="solid">
        <fgColor theme="0"/>
        <bgColor indexed="64"/>
      </patternFill>
    </fill>
    <fill>
      <gradientFill>
        <stop position="0">
          <color theme="9" tint="0.40000610370189521"/>
        </stop>
        <stop position="0.5">
          <color theme="0"/>
        </stop>
        <stop position="1">
          <color theme="9" tint="0.40000610370189521"/>
        </stop>
      </gradient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 indent="1" readingOrder="2"/>
    </xf>
    <xf numFmtId="0" fontId="0" fillId="0" borderId="0" xfId="0" applyAlignment="1">
      <alignment vertical="top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left" vertical="center"/>
    </xf>
    <xf numFmtId="0" fontId="14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2" borderId="0" xfId="0" applyFill="1" applyBorder="1"/>
    <xf numFmtId="0" fontId="0" fillId="4" borderId="0" xfId="0" applyFill="1" applyBorder="1"/>
    <xf numFmtId="0" fontId="0" fillId="3" borderId="0" xfId="0" applyFont="1" applyFill="1" applyBorder="1"/>
    <xf numFmtId="0" fontId="0" fillId="3" borderId="0" xfId="0" applyFill="1" applyBorder="1"/>
    <xf numFmtId="0" fontId="0" fillId="0" borderId="0" xfId="0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0" fillId="0" borderId="0" xfId="0" applyFont="1" applyBorder="1"/>
    <xf numFmtId="0" fontId="0" fillId="0" borderId="0" xfId="0" applyBorder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Alignment="1"/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wrapText="1"/>
    </xf>
    <xf numFmtId="0" fontId="0" fillId="5" borderId="3" xfId="0" applyFill="1" applyBorder="1" applyAlignment="1">
      <alignment vertical="center"/>
    </xf>
    <xf numFmtId="0" fontId="0" fillId="5" borderId="3" xfId="0" applyFont="1" applyFill="1" applyBorder="1" applyAlignment="1">
      <alignment vertical="center"/>
    </xf>
    <xf numFmtId="0" fontId="0" fillId="5" borderId="4" xfId="0" applyFont="1" applyFill="1" applyBorder="1" applyAlignment="1">
      <alignment vertical="center"/>
    </xf>
    <xf numFmtId="0" fontId="0" fillId="5" borderId="3" xfId="0" applyFill="1" applyBorder="1"/>
    <xf numFmtId="0" fontId="0" fillId="5" borderId="4" xfId="0" applyFill="1" applyBorder="1"/>
    <xf numFmtId="0" fontId="0" fillId="5" borderId="3" xfId="0" applyFill="1" applyBorder="1" applyAlignment="1">
      <alignment vertical="top"/>
    </xf>
    <xf numFmtId="0" fontId="7" fillId="7" borderId="0" xfId="0" applyFont="1" applyFill="1" applyBorder="1" applyAlignment="1">
      <alignment horizontal="right" vertical="center" indent="1" readingOrder="2"/>
    </xf>
    <xf numFmtId="0" fontId="0" fillId="7" borderId="0" xfId="0" applyFill="1" applyBorder="1"/>
    <xf numFmtId="0" fontId="0" fillId="7" borderId="0" xfId="0" applyFill="1"/>
    <xf numFmtId="0" fontId="2" fillId="7" borderId="0" xfId="0" applyFont="1" applyFill="1" applyBorder="1" applyAlignment="1" applyProtection="1">
      <alignment vertical="center"/>
    </xf>
    <xf numFmtId="0" fontId="0" fillId="7" borderId="0" xfId="0" applyFont="1" applyFill="1"/>
    <xf numFmtId="0" fontId="1" fillId="7" borderId="0" xfId="0" applyFont="1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3" fillId="7" borderId="0" xfId="0" applyFont="1" applyFill="1" applyBorder="1" applyAlignment="1" applyProtection="1">
      <alignment vertical="center"/>
    </xf>
    <xf numFmtId="0" fontId="0" fillId="7" borderId="0" xfId="0" applyFont="1" applyFill="1" applyBorder="1" applyAlignment="1">
      <alignment vertical="center"/>
    </xf>
    <xf numFmtId="0" fontId="3" fillId="7" borderId="0" xfId="0" applyFont="1" applyFill="1" applyBorder="1" applyAlignment="1" applyProtection="1">
      <alignment horizontal="center" vertical="center"/>
    </xf>
    <xf numFmtId="0" fontId="9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right" vertical="center" readingOrder="2"/>
    </xf>
    <xf numFmtId="0" fontId="1" fillId="6" borderId="3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19" fillId="0" borderId="0" xfId="0" applyFont="1"/>
    <xf numFmtId="0" fontId="0" fillId="5" borderId="4" xfId="0" applyFill="1" applyBorder="1" applyAlignment="1">
      <alignment horizontal="left" vertical="center"/>
    </xf>
    <xf numFmtId="0" fontId="0" fillId="5" borderId="4" xfId="0" applyFill="1" applyBorder="1" applyAlignment="1">
      <alignment vertical="center"/>
    </xf>
    <xf numFmtId="0" fontId="0" fillId="0" borderId="0" xfId="0" applyFont="1" applyAlignment="1">
      <alignment vertical="center"/>
    </xf>
    <xf numFmtId="0" fontId="19" fillId="0" borderId="0" xfId="0" applyFont="1" applyBorder="1"/>
    <xf numFmtId="0" fontId="19" fillId="0" borderId="0" xfId="0" applyFont="1" applyFill="1" applyAlignment="1">
      <alignment vertical="top"/>
    </xf>
    <xf numFmtId="0" fontId="13" fillId="0" borderId="0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0" fillId="5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164" fontId="0" fillId="0" borderId="0" xfId="0" applyNumberFormat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NumberFormat="1" applyFont="1" applyAlignment="1">
      <alignment horizontal="right"/>
    </xf>
    <xf numFmtId="0" fontId="17" fillId="0" borderId="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5" borderId="2" xfId="0" applyFill="1" applyBorder="1" applyAlignment="1">
      <alignment horizontal="left" vertical="top"/>
    </xf>
    <xf numFmtId="0" fontId="0" fillId="5" borderId="3" xfId="0" applyFill="1" applyBorder="1" applyAlignment="1">
      <alignment horizontal="left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top"/>
    </xf>
    <xf numFmtId="2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center"/>
    </xf>
    <xf numFmtId="2" fontId="0" fillId="5" borderId="3" xfId="0" applyNumberForma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4" fontId="0" fillId="5" borderId="3" xfId="0" applyNumberFormat="1" applyFill="1" applyBorder="1" applyAlignment="1">
      <alignment horizontal="center" vertical="top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5" borderId="4" xfId="0" applyFont="1" applyFill="1" applyBorder="1" applyAlignment="1">
      <alignment horizontal="right" vertical="center"/>
    </xf>
  </cellXfs>
  <cellStyles count="1">
    <cellStyle name="Normal" xfId="0" builtinId="0"/>
  </cellStyles>
  <dxfs count="46"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gradientFill degree="90">
          <stop position="0">
            <color theme="9" tint="0.40000610370189521"/>
          </stop>
          <stop position="0.5">
            <color theme="0"/>
          </stop>
          <stop position="1">
            <color theme="9" tint="0.40000610370189521"/>
          </stop>
        </gradientFill>
      </fill>
    </dxf>
    <dxf>
      <font>
        <color rgb="FF9C0006"/>
      </font>
      <fill>
        <gradientFill degree="90">
          <stop position="0">
            <color theme="5" tint="0.40000610370189521"/>
          </stop>
          <stop position="0.5">
            <color theme="0"/>
          </stop>
          <stop position="1">
            <color theme="5" tint="0.40000610370189521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png"/><Relationship Id="rId2" Type="http://schemas.microsoft.com/office/2007/relationships/hdphoto" Target="../media/hdphoto1.wdp"/><Relationship Id="rId1" Type="http://schemas.openxmlformats.org/officeDocument/2006/relationships/image" Target="../media/image122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3</xdr:row>
      <xdr:rowOff>190500</xdr:rowOff>
    </xdr:from>
    <xdr:to>
      <xdr:col>43</xdr:col>
      <xdr:colOff>133065</xdr:colOff>
      <xdr:row>13</xdr:row>
      <xdr:rowOff>121338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35153"/>
        <a:stretch/>
      </xdr:blipFill>
      <xdr:spPr>
        <a:xfrm>
          <a:off x="11049305085" y="857250"/>
          <a:ext cx="3095340" cy="22549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85725</xdr:colOff>
          <xdr:row>43</xdr:row>
          <xdr:rowOff>28575</xdr:rowOff>
        </xdr:from>
        <xdr:to>
          <xdr:col>43</xdr:col>
          <xdr:colOff>0</xdr:colOff>
          <xdr:row>44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43</xdr:row>
          <xdr:rowOff>28575</xdr:rowOff>
        </xdr:from>
        <xdr:to>
          <xdr:col>23</xdr:col>
          <xdr:colOff>28575</xdr:colOff>
          <xdr:row>44</xdr:row>
          <xdr:rowOff>76200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95250</xdr:colOff>
          <xdr:row>44</xdr:row>
          <xdr:rowOff>28575</xdr:rowOff>
        </xdr:from>
        <xdr:to>
          <xdr:col>42</xdr:col>
          <xdr:colOff>9525</xdr:colOff>
          <xdr:row>45</xdr:row>
          <xdr:rowOff>95250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44</xdr:row>
          <xdr:rowOff>9525</xdr:rowOff>
        </xdr:from>
        <xdr:to>
          <xdr:col>23</xdr:col>
          <xdr:colOff>57150</xdr:colOff>
          <xdr:row>45</xdr:row>
          <xdr:rowOff>57150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85725</xdr:colOff>
          <xdr:row>44</xdr:row>
          <xdr:rowOff>200025</xdr:rowOff>
        </xdr:from>
        <xdr:to>
          <xdr:col>41</xdr:col>
          <xdr:colOff>0</xdr:colOff>
          <xdr:row>46</xdr:row>
          <xdr:rowOff>190500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48</xdr:row>
          <xdr:rowOff>180975</xdr:rowOff>
        </xdr:from>
        <xdr:to>
          <xdr:col>19</xdr:col>
          <xdr:colOff>38100</xdr:colOff>
          <xdr:row>50</xdr:row>
          <xdr:rowOff>190500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50</xdr:row>
          <xdr:rowOff>171450</xdr:rowOff>
        </xdr:from>
        <xdr:to>
          <xdr:col>19</xdr:col>
          <xdr:colOff>123825</xdr:colOff>
          <xdr:row>52</xdr:row>
          <xdr:rowOff>180975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123825</xdr:colOff>
          <xdr:row>52</xdr:row>
          <xdr:rowOff>171450</xdr:rowOff>
        </xdr:from>
        <xdr:to>
          <xdr:col>43</xdr:col>
          <xdr:colOff>0</xdr:colOff>
          <xdr:row>54</xdr:row>
          <xdr:rowOff>200025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52</xdr:row>
          <xdr:rowOff>85725</xdr:rowOff>
        </xdr:from>
        <xdr:to>
          <xdr:col>36</xdr:col>
          <xdr:colOff>66675</xdr:colOff>
          <xdr:row>55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133350</xdr:colOff>
          <xdr:row>54</xdr:row>
          <xdr:rowOff>180975</xdr:rowOff>
        </xdr:from>
        <xdr:to>
          <xdr:col>42</xdr:col>
          <xdr:colOff>95250</xdr:colOff>
          <xdr:row>56</xdr:row>
          <xdr:rowOff>180975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123825</xdr:colOff>
          <xdr:row>55</xdr:row>
          <xdr:rowOff>19050</xdr:rowOff>
        </xdr:from>
        <xdr:to>
          <xdr:col>37</xdr:col>
          <xdr:colOff>9525</xdr:colOff>
          <xdr:row>56</xdr:row>
          <xdr:rowOff>66675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114300</xdr:colOff>
          <xdr:row>56</xdr:row>
          <xdr:rowOff>180975</xdr:rowOff>
        </xdr:from>
        <xdr:to>
          <xdr:col>43</xdr:col>
          <xdr:colOff>0</xdr:colOff>
          <xdr:row>58</xdr:row>
          <xdr:rowOff>209550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56</xdr:row>
          <xdr:rowOff>85725</xdr:rowOff>
        </xdr:from>
        <xdr:to>
          <xdr:col>36</xdr:col>
          <xdr:colOff>66675</xdr:colOff>
          <xdr:row>59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133350</xdr:colOff>
          <xdr:row>58</xdr:row>
          <xdr:rowOff>171450</xdr:rowOff>
        </xdr:from>
        <xdr:to>
          <xdr:col>42</xdr:col>
          <xdr:colOff>76200</xdr:colOff>
          <xdr:row>60</xdr:row>
          <xdr:rowOff>171450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59</xdr:row>
          <xdr:rowOff>19050</xdr:rowOff>
        </xdr:from>
        <xdr:to>
          <xdr:col>36</xdr:col>
          <xdr:colOff>104775</xdr:colOff>
          <xdr:row>60</xdr:row>
          <xdr:rowOff>66675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69</xdr:row>
          <xdr:rowOff>19050</xdr:rowOff>
        </xdr:from>
        <xdr:to>
          <xdr:col>43</xdr:col>
          <xdr:colOff>28575</xdr:colOff>
          <xdr:row>70</xdr:row>
          <xdr:rowOff>85725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95250</xdr:colOff>
          <xdr:row>71</xdr:row>
          <xdr:rowOff>28575</xdr:rowOff>
        </xdr:from>
        <xdr:to>
          <xdr:col>42</xdr:col>
          <xdr:colOff>95250</xdr:colOff>
          <xdr:row>72</xdr:row>
          <xdr:rowOff>85725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24459</xdr:colOff>
      <xdr:row>66</xdr:row>
      <xdr:rowOff>152400</xdr:rowOff>
    </xdr:from>
    <xdr:to>
      <xdr:col>20</xdr:col>
      <xdr:colOff>87883</xdr:colOff>
      <xdr:row>74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52855467" y="15897225"/>
          <a:ext cx="2959024" cy="1990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114300</xdr:colOff>
          <xdr:row>79</xdr:row>
          <xdr:rowOff>28575</xdr:rowOff>
        </xdr:from>
        <xdr:to>
          <xdr:col>42</xdr:col>
          <xdr:colOff>123825</xdr:colOff>
          <xdr:row>80</xdr:row>
          <xdr:rowOff>95250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114300</xdr:colOff>
          <xdr:row>81</xdr:row>
          <xdr:rowOff>171450</xdr:rowOff>
        </xdr:from>
        <xdr:to>
          <xdr:col>43</xdr:col>
          <xdr:colOff>0</xdr:colOff>
          <xdr:row>84</xdr:row>
          <xdr:rowOff>19050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28575</xdr:colOff>
          <xdr:row>84</xdr:row>
          <xdr:rowOff>28575</xdr:rowOff>
        </xdr:from>
        <xdr:to>
          <xdr:col>43</xdr:col>
          <xdr:colOff>28575</xdr:colOff>
          <xdr:row>85</xdr:row>
          <xdr:rowOff>76200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47625</xdr:colOff>
          <xdr:row>88</xdr:row>
          <xdr:rowOff>38100</xdr:rowOff>
        </xdr:from>
        <xdr:to>
          <xdr:col>41</xdr:col>
          <xdr:colOff>114300</xdr:colOff>
          <xdr:row>89</xdr:row>
          <xdr:rowOff>104775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95250</xdr:colOff>
          <xdr:row>96</xdr:row>
          <xdr:rowOff>28575</xdr:rowOff>
        </xdr:from>
        <xdr:to>
          <xdr:col>42</xdr:col>
          <xdr:colOff>38100</xdr:colOff>
          <xdr:row>97</xdr:row>
          <xdr:rowOff>95250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101</xdr:row>
          <xdr:rowOff>38100</xdr:rowOff>
        </xdr:from>
        <xdr:to>
          <xdr:col>43</xdr:col>
          <xdr:colOff>19050</xdr:colOff>
          <xdr:row>102</xdr:row>
          <xdr:rowOff>85725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95250</xdr:colOff>
          <xdr:row>106</xdr:row>
          <xdr:rowOff>28575</xdr:rowOff>
        </xdr:from>
        <xdr:to>
          <xdr:col>43</xdr:col>
          <xdr:colOff>0</xdr:colOff>
          <xdr:row>107</xdr:row>
          <xdr:rowOff>95250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123825</xdr:colOff>
          <xdr:row>102</xdr:row>
          <xdr:rowOff>133350</xdr:rowOff>
        </xdr:from>
        <xdr:to>
          <xdr:col>43</xdr:col>
          <xdr:colOff>0</xdr:colOff>
          <xdr:row>105</xdr:row>
          <xdr:rowOff>95250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95250</xdr:colOff>
          <xdr:row>62</xdr:row>
          <xdr:rowOff>200025</xdr:rowOff>
        </xdr:from>
        <xdr:to>
          <xdr:col>34</xdr:col>
          <xdr:colOff>123825</xdr:colOff>
          <xdr:row>65</xdr:row>
          <xdr:rowOff>66675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63</xdr:row>
          <xdr:rowOff>38100</xdr:rowOff>
        </xdr:from>
        <xdr:to>
          <xdr:col>20</xdr:col>
          <xdr:colOff>85725</xdr:colOff>
          <xdr:row>65</xdr:row>
          <xdr:rowOff>28575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110</xdr:row>
          <xdr:rowOff>76200</xdr:rowOff>
        </xdr:from>
        <xdr:to>
          <xdr:col>42</xdr:col>
          <xdr:colOff>66675</xdr:colOff>
          <xdr:row>111</xdr:row>
          <xdr:rowOff>142875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66675</xdr:colOff>
          <xdr:row>112</xdr:row>
          <xdr:rowOff>19050</xdr:rowOff>
        </xdr:from>
        <xdr:to>
          <xdr:col>43</xdr:col>
          <xdr:colOff>0</xdr:colOff>
          <xdr:row>113</xdr:row>
          <xdr:rowOff>85725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142875</xdr:colOff>
          <xdr:row>114</xdr:row>
          <xdr:rowOff>28575</xdr:rowOff>
        </xdr:from>
        <xdr:to>
          <xdr:col>41</xdr:col>
          <xdr:colOff>9525</xdr:colOff>
          <xdr:row>115</xdr:row>
          <xdr:rowOff>95250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114</xdr:row>
          <xdr:rowOff>38100</xdr:rowOff>
        </xdr:from>
        <xdr:to>
          <xdr:col>14</xdr:col>
          <xdr:colOff>114300</xdr:colOff>
          <xdr:row>115</xdr:row>
          <xdr:rowOff>85725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133350</xdr:colOff>
          <xdr:row>119</xdr:row>
          <xdr:rowOff>190500</xdr:rowOff>
        </xdr:from>
        <xdr:to>
          <xdr:col>42</xdr:col>
          <xdr:colOff>47625</xdr:colOff>
          <xdr:row>121</xdr:row>
          <xdr:rowOff>200025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85725</xdr:colOff>
          <xdr:row>117</xdr:row>
          <xdr:rowOff>47625</xdr:rowOff>
        </xdr:from>
        <xdr:to>
          <xdr:col>41</xdr:col>
          <xdr:colOff>66675</xdr:colOff>
          <xdr:row>118</xdr:row>
          <xdr:rowOff>95250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66675</xdr:colOff>
          <xdr:row>123</xdr:row>
          <xdr:rowOff>219075</xdr:rowOff>
        </xdr:from>
        <xdr:to>
          <xdr:col>42</xdr:col>
          <xdr:colOff>19050</xdr:colOff>
          <xdr:row>125</xdr:row>
          <xdr:rowOff>200025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1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114300</xdr:colOff>
          <xdr:row>134</xdr:row>
          <xdr:rowOff>38100</xdr:rowOff>
        </xdr:from>
        <xdr:to>
          <xdr:col>39</xdr:col>
          <xdr:colOff>38100</xdr:colOff>
          <xdr:row>135</xdr:row>
          <xdr:rowOff>104775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133350</xdr:colOff>
          <xdr:row>135</xdr:row>
          <xdr:rowOff>209550</xdr:rowOff>
        </xdr:from>
        <xdr:to>
          <xdr:col>42</xdr:col>
          <xdr:colOff>114300</xdr:colOff>
          <xdr:row>137</xdr:row>
          <xdr:rowOff>180975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85725</xdr:colOff>
          <xdr:row>142</xdr:row>
          <xdr:rowOff>47625</xdr:rowOff>
        </xdr:from>
        <xdr:to>
          <xdr:col>42</xdr:col>
          <xdr:colOff>28575</xdr:colOff>
          <xdr:row>143</xdr:row>
          <xdr:rowOff>95250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1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142</xdr:row>
          <xdr:rowOff>38100</xdr:rowOff>
        </xdr:from>
        <xdr:to>
          <xdr:col>19</xdr:col>
          <xdr:colOff>95250</xdr:colOff>
          <xdr:row>143</xdr:row>
          <xdr:rowOff>85725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1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144</xdr:row>
          <xdr:rowOff>66675</xdr:rowOff>
        </xdr:from>
        <xdr:to>
          <xdr:col>42</xdr:col>
          <xdr:colOff>47625</xdr:colOff>
          <xdr:row>145</xdr:row>
          <xdr:rowOff>133350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1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144</xdr:row>
          <xdr:rowOff>38100</xdr:rowOff>
        </xdr:from>
        <xdr:to>
          <xdr:col>19</xdr:col>
          <xdr:colOff>95250</xdr:colOff>
          <xdr:row>145</xdr:row>
          <xdr:rowOff>85725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1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148</xdr:row>
          <xdr:rowOff>76200</xdr:rowOff>
        </xdr:from>
        <xdr:to>
          <xdr:col>43</xdr:col>
          <xdr:colOff>28575</xdr:colOff>
          <xdr:row>149</xdr:row>
          <xdr:rowOff>123825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1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150</xdr:row>
          <xdr:rowOff>76200</xdr:rowOff>
        </xdr:from>
        <xdr:to>
          <xdr:col>43</xdr:col>
          <xdr:colOff>76200</xdr:colOff>
          <xdr:row>151</xdr:row>
          <xdr:rowOff>123825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1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151</xdr:row>
          <xdr:rowOff>238125</xdr:rowOff>
        </xdr:from>
        <xdr:to>
          <xdr:col>43</xdr:col>
          <xdr:colOff>38100</xdr:colOff>
          <xdr:row>153</xdr:row>
          <xdr:rowOff>228600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1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153</xdr:row>
          <xdr:rowOff>228600</xdr:rowOff>
        </xdr:from>
        <xdr:to>
          <xdr:col>41</xdr:col>
          <xdr:colOff>0</xdr:colOff>
          <xdr:row>155</xdr:row>
          <xdr:rowOff>200025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1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95250</xdr:colOff>
          <xdr:row>155</xdr:row>
          <xdr:rowOff>219075</xdr:rowOff>
        </xdr:from>
        <xdr:to>
          <xdr:col>42</xdr:col>
          <xdr:colOff>104775</xdr:colOff>
          <xdr:row>158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1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156</xdr:row>
          <xdr:rowOff>76200</xdr:rowOff>
        </xdr:from>
        <xdr:to>
          <xdr:col>34</xdr:col>
          <xdr:colOff>28575</xdr:colOff>
          <xdr:row>157</xdr:row>
          <xdr:rowOff>123825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1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123825</xdr:colOff>
          <xdr:row>160</xdr:row>
          <xdr:rowOff>47625</xdr:rowOff>
        </xdr:from>
        <xdr:to>
          <xdr:col>41</xdr:col>
          <xdr:colOff>104775</xdr:colOff>
          <xdr:row>161</xdr:row>
          <xdr:rowOff>114300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1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159</xdr:row>
          <xdr:rowOff>85725</xdr:rowOff>
        </xdr:from>
        <xdr:to>
          <xdr:col>35</xdr:col>
          <xdr:colOff>0</xdr:colOff>
          <xdr:row>162</xdr:row>
          <xdr:rowOff>47625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95250</xdr:colOff>
          <xdr:row>162</xdr:row>
          <xdr:rowOff>38100</xdr:rowOff>
        </xdr:from>
        <xdr:to>
          <xdr:col>34</xdr:col>
          <xdr:colOff>28575</xdr:colOff>
          <xdr:row>163</xdr:row>
          <xdr:rowOff>85725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142875</xdr:colOff>
          <xdr:row>167</xdr:row>
          <xdr:rowOff>38100</xdr:rowOff>
        </xdr:from>
        <xdr:to>
          <xdr:col>41</xdr:col>
          <xdr:colOff>114300</xdr:colOff>
          <xdr:row>168</xdr:row>
          <xdr:rowOff>114300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133350</xdr:colOff>
          <xdr:row>168</xdr:row>
          <xdr:rowOff>219075</xdr:rowOff>
        </xdr:from>
        <xdr:to>
          <xdr:col>42</xdr:col>
          <xdr:colOff>38100</xdr:colOff>
          <xdr:row>170</xdr:row>
          <xdr:rowOff>238125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142875</xdr:colOff>
          <xdr:row>169</xdr:row>
          <xdr:rowOff>66675</xdr:rowOff>
        </xdr:from>
        <xdr:to>
          <xdr:col>24</xdr:col>
          <xdr:colOff>114300</xdr:colOff>
          <xdr:row>170</xdr:row>
          <xdr:rowOff>114300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76200</xdr:colOff>
          <xdr:row>171</xdr:row>
          <xdr:rowOff>47625</xdr:rowOff>
        </xdr:from>
        <xdr:to>
          <xdr:col>34</xdr:col>
          <xdr:colOff>9525</xdr:colOff>
          <xdr:row>172</xdr:row>
          <xdr:rowOff>95250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95250</xdr:colOff>
          <xdr:row>174</xdr:row>
          <xdr:rowOff>85725</xdr:rowOff>
        </xdr:from>
        <xdr:to>
          <xdr:col>42</xdr:col>
          <xdr:colOff>0</xdr:colOff>
          <xdr:row>175</xdr:row>
          <xdr:rowOff>152400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76200</xdr:colOff>
          <xdr:row>176</xdr:row>
          <xdr:rowOff>76200</xdr:rowOff>
        </xdr:from>
        <xdr:to>
          <xdr:col>41</xdr:col>
          <xdr:colOff>28575</xdr:colOff>
          <xdr:row>177</xdr:row>
          <xdr:rowOff>142875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9525</xdr:colOff>
          <xdr:row>178</xdr:row>
          <xdr:rowOff>76200</xdr:rowOff>
        </xdr:from>
        <xdr:to>
          <xdr:col>41</xdr:col>
          <xdr:colOff>95250</xdr:colOff>
          <xdr:row>179</xdr:row>
          <xdr:rowOff>142875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1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123825</xdr:colOff>
          <xdr:row>178</xdr:row>
          <xdr:rowOff>66675</xdr:rowOff>
        </xdr:from>
        <xdr:to>
          <xdr:col>34</xdr:col>
          <xdr:colOff>0</xdr:colOff>
          <xdr:row>179</xdr:row>
          <xdr:rowOff>114300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1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85725</xdr:colOff>
          <xdr:row>180</xdr:row>
          <xdr:rowOff>38100</xdr:rowOff>
        </xdr:from>
        <xdr:to>
          <xdr:col>34</xdr:col>
          <xdr:colOff>19050</xdr:colOff>
          <xdr:row>181</xdr:row>
          <xdr:rowOff>85725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133350</xdr:colOff>
          <xdr:row>184</xdr:row>
          <xdr:rowOff>76200</xdr:rowOff>
        </xdr:from>
        <xdr:to>
          <xdr:col>41</xdr:col>
          <xdr:colOff>85725</xdr:colOff>
          <xdr:row>185</xdr:row>
          <xdr:rowOff>123825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185</xdr:row>
          <xdr:rowOff>133350</xdr:rowOff>
        </xdr:from>
        <xdr:to>
          <xdr:col>39</xdr:col>
          <xdr:colOff>19050</xdr:colOff>
          <xdr:row>188</xdr:row>
          <xdr:rowOff>47625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142875</xdr:colOff>
          <xdr:row>188</xdr:row>
          <xdr:rowOff>76200</xdr:rowOff>
        </xdr:from>
        <xdr:to>
          <xdr:col>39</xdr:col>
          <xdr:colOff>76200</xdr:colOff>
          <xdr:row>189</xdr:row>
          <xdr:rowOff>142875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9525</xdr:colOff>
          <xdr:row>188</xdr:row>
          <xdr:rowOff>66675</xdr:rowOff>
        </xdr:from>
        <xdr:to>
          <xdr:col>31</xdr:col>
          <xdr:colOff>123825</xdr:colOff>
          <xdr:row>189</xdr:row>
          <xdr:rowOff>209550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194</xdr:row>
          <xdr:rowOff>28575</xdr:rowOff>
        </xdr:from>
        <xdr:to>
          <xdr:col>41</xdr:col>
          <xdr:colOff>0</xdr:colOff>
          <xdr:row>195</xdr:row>
          <xdr:rowOff>171450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197</xdr:row>
          <xdr:rowOff>200025</xdr:rowOff>
        </xdr:from>
        <xdr:to>
          <xdr:col>41</xdr:col>
          <xdr:colOff>76200</xdr:colOff>
          <xdr:row>199</xdr:row>
          <xdr:rowOff>180975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114300</xdr:colOff>
          <xdr:row>199</xdr:row>
          <xdr:rowOff>219075</xdr:rowOff>
        </xdr:from>
        <xdr:to>
          <xdr:col>41</xdr:col>
          <xdr:colOff>0</xdr:colOff>
          <xdr:row>201</xdr:row>
          <xdr:rowOff>190500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201</xdr:row>
          <xdr:rowOff>228600</xdr:rowOff>
        </xdr:from>
        <xdr:to>
          <xdr:col>41</xdr:col>
          <xdr:colOff>19050</xdr:colOff>
          <xdr:row>204</xdr:row>
          <xdr:rowOff>38100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1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207</xdr:row>
          <xdr:rowOff>228600</xdr:rowOff>
        </xdr:from>
        <xdr:to>
          <xdr:col>41</xdr:col>
          <xdr:colOff>57150</xdr:colOff>
          <xdr:row>210</xdr:row>
          <xdr:rowOff>19050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1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57150</xdr:colOff>
          <xdr:row>204</xdr:row>
          <xdr:rowOff>47625</xdr:rowOff>
        </xdr:from>
        <xdr:to>
          <xdr:col>41</xdr:col>
          <xdr:colOff>9525</xdr:colOff>
          <xdr:row>205</xdr:row>
          <xdr:rowOff>95250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1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</xdr:colOff>
          <xdr:row>206</xdr:row>
          <xdr:rowOff>38100</xdr:rowOff>
        </xdr:from>
        <xdr:to>
          <xdr:col>40</xdr:col>
          <xdr:colOff>95250</xdr:colOff>
          <xdr:row>207</xdr:row>
          <xdr:rowOff>104775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1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123825</xdr:colOff>
          <xdr:row>210</xdr:row>
          <xdr:rowOff>47625</xdr:rowOff>
        </xdr:from>
        <xdr:to>
          <xdr:col>41</xdr:col>
          <xdr:colOff>19050</xdr:colOff>
          <xdr:row>211</xdr:row>
          <xdr:rowOff>95250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57150</xdr:colOff>
          <xdr:row>211</xdr:row>
          <xdr:rowOff>228600</xdr:rowOff>
        </xdr:from>
        <xdr:to>
          <xdr:col>42</xdr:col>
          <xdr:colOff>9525</xdr:colOff>
          <xdr:row>213</xdr:row>
          <xdr:rowOff>228600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114300</xdr:colOff>
          <xdr:row>211</xdr:row>
          <xdr:rowOff>142875</xdr:rowOff>
        </xdr:from>
        <xdr:to>
          <xdr:col>36</xdr:col>
          <xdr:colOff>114300</xdr:colOff>
          <xdr:row>214</xdr:row>
          <xdr:rowOff>57150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212</xdr:row>
          <xdr:rowOff>47625</xdr:rowOff>
        </xdr:from>
        <xdr:to>
          <xdr:col>27</xdr:col>
          <xdr:colOff>47625</xdr:colOff>
          <xdr:row>213</xdr:row>
          <xdr:rowOff>95250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210</xdr:row>
          <xdr:rowOff>47625</xdr:rowOff>
        </xdr:from>
        <xdr:to>
          <xdr:col>27</xdr:col>
          <xdr:colOff>47625</xdr:colOff>
          <xdr:row>211</xdr:row>
          <xdr:rowOff>95250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1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228</xdr:row>
          <xdr:rowOff>190500</xdr:rowOff>
        </xdr:from>
        <xdr:to>
          <xdr:col>39</xdr:col>
          <xdr:colOff>0</xdr:colOff>
          <xdr:row>231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1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104775</xdr:colOff>
          <xdr:row>221</xdr:row>
          <xdr:rowOff>76200</xdr:rowOff>
        </xdr:from>
        <xdr:to>
          <xdr:col>41</xdr:col>
          <xdr:colOff>114300</xdr:colOff>
          <xdr:row>222</xdr:row>
          <xdr:rowOff>171450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1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220</xdr:row>
          <xdr:rowOff>238125</xdr:rowOff>
        </xdr:from>
        <xdr:to>
          <xdr:col>28</xdr:col>
          <xdr:colOff>0</xdr:colOff>
          <xdr:row>222</xdr:row>
          <xdr:rowOff>133350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1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222</xdr:row>
          <xdr:rowOff>219075</xdr:rowOff>
        </xdr:from>
        <xdr:to>
          <xdr:col>29</xdr:col>
          <xdr:colOff>66675</xdr:colOff>
          <xdr:row>224</xdr:row>
          <xdr:rowOff>190500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1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223</xdr:row>
          <xdr:rowOff>47625</xdr:rowOff>
        </xdr:from>
        <xdr:to>
          <xdr:col>10</xdr:col>
          <xdr:colOff>104775</xdr:colOff>
          <xdr:row>224</xdr:row>
          <xdr:rowOff>95250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1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216</xdr:row>
          <xdr:rowOff>238125</xdr:rowOff>
        </xdr:from>
        <xdr:to>
          <xdr:col>42</xdr:col>
          <xdr:colOff>0</xdr:colOff>
          <xdr:row>218</xdr:row>
          <xdr:rowOff>180975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1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218</xdr:row>
          <xdr:rowOff>190500</xdr:rowOff>
        </xdr:from>
        <xdr:to>
          <xdr:col>38</xdr:col>
          <xdr:colOff>28575</xdr:colOff>
          <xdr:row>221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1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95250</xdr:colOff>
          <xdr:row>232</xdr:row>
          <xdr:rowOff>57150</xdr:rowOff>
        </xdr:from>
        <xdr:to>
          <xdr:col>41</xdr:col>
          <xdr:colOff>66675</xdr:colOff>
          <xdr:row>233</xdr:row>
          <xdr:rowOff>200025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1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231</xdr:row>
          <xdr:rowOff>209550</xdr:rowOff>
        </xdr:from>
        <xdr:to>
          <xdr:col>28</xdr:col>
          <xdr:colOff>85725</xdr:colOff>
          <xdr:row>233</xdr:row>
          <xdr:rowOff>142875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1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234</xdr:row>
          <xdr:rowOff>47625</xdr:rowOff>
        </xdr:from>
        <xdr:to>
          <xdr:col>10</xdr:col>
          <xdr:colOff>104775</xdr:colOff>
          <xdr:row>235</xdr:row>
          <xdr:rowOff>95250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1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123825</xdr:colOff>
          <xdr:row>242</xdr:row>
          <xdr:rowOff>238125</xdr:rowOff>
        </xdr:from>
        <xdr:to>
          <xdr:col>43</xdr:col>
          <xdr:colOff>0</xdr:colOff>
          <xdr:row>245</xdr:row>
          <xdr:rowOff>47625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1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245</xdr:row>
          <xdr:rowOff>190500</xdr:rowOff>
        </xdr:from>
        <xdr:to>
          <xdr:col>43</xdr:col>
          <xdr:colOff>76200</xdr:colOff>
          <xdr:row>247</xdr:row>
          <xdr:rowOff>142875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1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237</xdr:row>
          <xdr:rowOff>171450</xdr:rowOff>
        </xdr:from>
        <xdr:to>
          <xdr:col>41</xdr:col>
          <xdr:colOff>104775</xdr:colOff>
          <xdr:row>240</xdr:row>
          <xdr:rowOff>133350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1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95250</xdr:colOff>
          <xdr:row>241</xdr:row>
          <xdr:rowOff>38100</xdr:rowOff>
        </xdr:from>
        <xdr:to>
          <xdr:col>43</xdr:col>
          <xdr:colOff>47625</xdr:colOff>
          <xdr:row>242</xdr:row>
          <xdr:rowOff>104775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1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246</xdr:row>
          <xdr:rowOff>19050</xdr:rowOff>
        </xdr:from>
        <xdr:to>
          <xdr:col>25</xdr:col>
          <xdr:colOff>76200</xdr:colOff>
          <xdr:row>247</xdr:row>
          <xdr:rowOff>66675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246</xdr:row>
          <xdr:rowOff>38100</xdr:rowOff>
        </xdr:from>
        <xdr:to>
          <xdr:col>21</xdr:col>
          <xdr:colOff>19050</xdr:colOff>
          <xdr:row>247</xdr:row>
          <xdr:rowOff>85725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248</xdr:row>
          <xdr:rowOff>38100</xdr:rowOff>
        </xdr:from>
        <xdr:to>
          <xdr:col>43</xdr:col>
          <xdr:colOff>28575</xdr:colOff>
          <xdr:row>249</xdr:row>
          <xdr:rowOff>57150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249</xdr:row>
          <xdr:rowOff>200025</xdr:rowOff>
        </xdr:from>
        <xdr:to>
          <xdr:col>43</xdr:col>
          <xdr:colOff>0</xdr:colOff>
          <xdr:row>252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252</xdr:row>
          <xdr:rowOff>19050</xdr:rowOff>
        </xdr:from>
        <xdr:to>
          <xdr:col>42</xdr:col>
          <xdr:colOff>0</xdr:colOff>
          <xdr:row>253</xdr:row>
          <xdr:rowOff>133350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76200</xdr:colOff>
          <xdr:row>253</xdr:row>
          <xdr:rowOff>133350</xdr:rowOff>
        </xdr:from>
        <xdr:to>
          <xdr:col>43</xdr:col>
          <xdr:colOff>0</xdr:colOff>
          <xdr:row>256</xdr:row>
          <xdr:rowOff>47625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255</xdr:row>
          <xdr:rowOff>219075</xdr:rowOff>
        </xdr:from>
        <xdr:to>
          <xdr:col>43</xdr:col>
          <xdr:colOff>28575</xdr:colOff>
          <xdr:row>258</xdr:row>
          <xdr:rowOff>9525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66675</xdr:colOff>
          <xdr:row>259</xdr:row>
          <xdr:rowOff>28575</xdr:rowOff>
        </xdr:from>
        <xdr:to>
          <xdr:col>41</xdr:col>
          <xdr:colOff>85725</xdr:colOff>
          <xdr:row>260</xdr:row>
          <xdr:rowOff>95250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259</xdr:row>
          <xdr:rowOff>28575</xdr:rowOff>
        </xdr:from>
        <xdr:to>
          <xdr:col>27</xdr:col>
          <xdr:colOff>85725</xdr:colOff>
          <xdr:row>260</xdr:row>
          <xdr:rowOff>85725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259</xdr:row>
          <xdr:rowOff>38100</xdr:rowOff>
        </xdr:from>
        <xdr:to>
          <xdr:col>13</xdr:col>
          <xdr:colOff>0</xdr:colOff>
          <xdr:row>260</xdr:row>
          <xdr:rowOff>104775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142875</xdr:colOff>
          <xdr:row>262</xdr:row>
          <xdr:rowOff>190500</xdr:rowOff>
        </xdr:from>
        <xdr:to>
          <xdr:col>36</xdr:col>
          <xdr:colOff>104775</xdr:colOff>
          <xdr:row>264</xdr:row>
          <xdr:rowOff>180975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85725</xdr:colOff>
          <xdr:row>261</xdr:row>
          <xdr:rowOff>47625</xdr:rowOff>
        </xdr:from>
        <xdr:to>
          <xdr:col>41</xdr:col>
          <xdr:colOff>57150</xdr:colOff>
          <xdr:row>262</xdr:row>
          <xdr:rowOff>114300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252</xdr:row>
          <xdr:rowOff>38100</xdr:rowOff>
        </xdr:from>
        <xdr:to>
          <xdr:col>13</xdr:col>
          <xdr:colOff>114300</xdr:colOff>
          <xdr:row>253</xdr:row>
          <xdr:rowOff>142875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123825</xdr:colOff>
          <xdr:row>52</xdr:row>
          <xdr:rowOff>180975</xdr:rowOff>
        </xdr:from>
        <xdr:to>
          <xdr:col>21</xdr:col>
          <xdr:colOff>0</xdr:colOff>
          <xdr:row>54</xdr:row>
          <xdr:rowOff>209550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52</xdr:row>
          <xdr:rowOff>95250</xdr:rowOff>
        </xdr:from>
        <xdr:to>
          <xdr:col>14</xdr:col>
          <xdr:colOff>66675</xdr:colOff>
          <xdr:row>55</xdr:row>
          <xdr:rowOff>9525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133350</xdr:colOff>
          <xdr:row>54</xdr:row>
          <xdr:rowOff>190500</xdr:rowOff>
        </xdr:from>
        <xdr:to>
          <xdr:col>20</xdr:col>
          <xdr:colOff>95250</xdr:colOff>
          <xdr:row>56</xdr:row>
          <xdr:rowOff>190500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123825</xdr:colOff>
          <xdr:row>55</xdr:row>
          <xdr:rowOff>19050</xdr:rowOff>
        </xdr:from>
        <xdr:to>
          <xdr:col>14</xdr:col>
          <xdr:colOff>123825</xdr:colOff>
          <xdr:row>56</xdr:row>
          <xdr:rowOff>66675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56</xdr:row>
          <xdr:rowOff>190500</xdr:rowOff>
        </xdr:from>
        <xdr:to>
          <xdr:col>21</xdr:col>
          <xdr:colOff>0</xdr:colOff>
          <xdr:row>58</xdr:row>
          <xdr:rowOff>219075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1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56</xdr:row>
          <xdr:rowOff>95250</xdr:rowOff>
        </xdr:from>
        <xdr:to>
          <xdr:col>14</xdr:col>
          <xdr:colOff>66675</xdr:colOff>
          <xdr:row>59</xdr:row>
          <xdr:rowOff>9525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1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133350</xdr:colOff>
          <xdr:row>58</xdr:row>
          <xdr:rowOff>180975</xdr:rowOff>
        </xdr:from>
        <xdr:to>
          <xdr:col>20</xdr:col>
          <xdr:colOff>76200</xdr:colOff>
          <xdr:row>60</xdr:row>
          <xdr:rowOff>180975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1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59</xdr:row>
          <xdr:rowOff>28575</xdr:rowOff>
        </xdr:from>
        <xdr:to>
          <xdr:col>14</xdr:col>
          <xdr:colOff>85725</xdr:colOff>
          <xdr:row>60</xdr:row>
          <xdr:rowOff>76200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1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48</xdr:row>
          <xdr:rowOff>57150</xdr:rowOff>
        </xdr:from>
        <xdr:to>
          <xdr:col>42</xdr:col>
          <xdr:colOff>47625</xdr:colOff>
          <xdr:row>53</xdr:row>
          <xdr:rowOff>104775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123825</xdr:colOff>
          <xdr:row>76</xdr:row>
          <xdr:rowOff>180975</xdr:rowOff>
        </xdr:from>
        <xdr:to>
          <xdr:col>42</xdr:col>
          <xdr:colOff>66675</xdr:colOff>
          <xdr:row>78</xdr:row>
          <xdr:rowOff>219075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121</xdr:row>
          <xdr:rowOff>171450</xdr:rowOff>
        </xdr:from>
        <xdr:to>
          <xdr:col>42</xdr:col>
          <xdr:colOff>47625</xdr:colOff>
          <xdr:row>123</xdr:row>
          <xdr:rowOff>180975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125</xdr:row>
          <xdr:rowOff>123825</xdr:rowOff>
        </xdr:from>
        <xdr:to>
          <xdr:col>43</xdr:col>
          <xdr:colOff>28575</xdr:colOff>
          <xdr:row>128</xdr:row>
          <xdr:rowOff>57150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67</xdr:row>
          <xdr:rowOff>9525</xdr:rowOff>
        </xdr:from>
        <xdr:to>
          <xdr:col>43</xdr:col>
          <xdr:colOff>9525</xdr:colOff>
          <xdr:row>68</xdr:row>
          <xdr:rowOff>57150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66675</xdr:colOff>
          <xdr:row>74</xdr:row>
          <xdr:rowOff>47625</xdr:rowOff>
        </xdr:from>
        <xdr:to>
          <xdr:col>37</xdr:col>
          <xdr:colOff>123825</xdr:colOff>
          <xdr:row>75</xdr:row>
          <xdr:rowOff>95250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1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95250</xdr:colOff>
          <xdr:row>128</xdr:row>
          <xdr:rowOff>190500</xdr:rowOff>
        </xdr:from>
        <xdr:to>
          <xdr:col>43</xdr:col>
          <xdr:colOff>9525</xdr:colOff>
          <xdr:row>130</xdr:row>
          <xdr:rowOff>209550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1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138</xdr:row>
          <xdr:rowOff>47625</xdr:rowOff>
        </xdr:from>
        <xdr:to>
          <xdr:col>40</xdr:col>
          <xdr:colOff>47625</xdr:colOff>
          <xdr:row>139</xdr:row>
          <xdr:rowOff>114300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1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133350</xdr:colOff>
          <xdr:row>140</xdr:row>
          <xdr:rowOff>38100</xdr:rowOff>
        </xdr:from>
        <xdr:to>
          <xdr:col>39</xdr:col>
          <xdr:colOff>0</xdr:colOff>
          <xdr:row>141</xdr:row>
          <xdr:rowOff>85725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1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131</xdr:row>
          <xdr:rowOff>133350</xdr:rowOff>
        </xdr:from>
        <xdr:to>
          <xdr:col>43</xdr:col>
          <xdr:colOff>0</xdr:colOff>
          <xdr:row>133</xdr:row>
          <xdr:rowOff>209550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1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142</xdr:row>
          <xdr:rowOff>38100</xdr:rowOff>
        </xdr:from>
        <xdr:to>
          <xdr:col>12</xdr:col>
          <xdr:colOff>114300</xdr:colOff>
          <xdr:row>143</xdr:row>
          <xdr:rowOff>85725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1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144</xdr:row>
          <xdr:rowOff>38100</xdr:rowOff>
        </xdr:from>
        <xdr:to>
          <xdr:col>12</xdr:col>
          <xdr:colOff>114300</xdr:colOff>
          <xdr:row>145</xdr:row>
          <xdr:rowOff>85725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1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47625</xdr:colOff>
          <xdr:row>94</xdr:row>
          <xdr:rowOff>38100</xdr:rowOff>
        </xdr:from>
        <xdr:to>
          <xdr:col>41</xdr:col>
          <xdr:colOff>114300</xdr:colOff>
          <xdr:row>95</xdr:row>
          <xdr:rowOff>104775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1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66675</xdr:colOff>
          <xdr:row>90</xdr:row>
          <xdr:rowOff>28575</xdr:rowOff>
        </xdr:from>
        <xdr:to>
          <xdr:col>42</xdr:col>
          <xdr:colOff>9525</xdr:colOff>
          <xdr:row>91</xdr:row>
          <xdr:rowOff>95250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1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190</xdr:row>
          <xdr:rowOff>66675</xdr:rowOff>
        </xdr:from>
        <xdr:to>
          <xdr:col>34</xdr:col>
          <xdr:colOff>19050</xdr:colOff>
          <xdr:row>191</xdr:row>
          <xdr:rowOff>114300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233</xdr:row>
          <xdr:rowOff>228600</xdr:rowOff>
        </xdr:from>
        <xdr:to>
          <xdr:col>29</xdr:col>
          <xdr:colOff>57150</xdr:colOff>
          <xdr:row>235</xdr:row>
          <xdr:rowOff>190500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1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238</xdr:row>
          <xdr:rowOff>76200</xdr:rowOff>
        </xdr:from>
        <xdr:to>
          <xdr:col>16</xdr:col>
          <xdr:colOff>57150</xdr:colOff>
          <xdr:row>239</xdr:row>
          <xdr:rowOff>171450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133350</xdr:colOff>
          <xdr:row>263</xdr:row>
          <xdr:rowOff>47625</xdr:rowOff>
        </xdr:from>
        <xdr:to>
          <xdr:col>42</xdr:col>
          <xdr:colOff>0</xdr:colOff>
          <xdr:row>264</xdr:row>
          <xdr:rowOff>104775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263</xdr:row>
          <xdr:rowOff>28575</xdr:rowOff>
        </xdr:from>
        <xdr:to>
          <xdr:col>24</xdr:col>
          <xdr:colOff>19050</xdr:colOff>
          <xdr:row>264</xdr:row>
          <xdr:rowOff>76200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package" Target="../embeddings/Microsoft_Word_Document58.docx"/><Relationship Id="rId21" Type="http://schemas.openxmlformats.org/officeDocument/2006/relationships/image" Target="../media/image9.emf"/><Relationship Id="rId42" Type="http://schemas.openxmlformats.org/officeDocument/2006/relationships/image" Target="../media/image19.emf"/><Relationship Id="rId63" Type="http://schemas.openxmlformats.org/officeDocument/2006/relationships/package" Target="../embeddings/Microsoft_Word_Document30.docx"/><Relationship Id="rId84" Type="http://schemas.openxmlformats.org/officeDocument/2006/relationships/package" Target="../embeddings/Microsoft_Word_Document41.docx"/><Relationship Id="rId138" Type="http://schemas.openxmlformats.org/officeDocument/2006/relationships/image" Target="../media/image66.emf"/><Relationship Id="rId159" Type="http://schemas.openxmlformats.org/officeDocument/2006/relationships/image" Target="../media/image76.emf"/><Relationship Id="rId170" Type="http://schemas.openxmlformats.org/officeDocument/2006/relationships/package" Target="../embeddings/Microsoft_Word_Document85.docx"/><Relationship Id="rId191" Type="http://schemas.openxmlformats.org/officeDocument/2006/relationships/image" Target="../media/image92.emf"/><Relationship Id="rId205" Type="http://schemas.openxmlformats.org/officeDocument/2006/relationships/image" Target="../media/image99.emf"/><Relationship Id="rId226" Type="http://schemas.openxmlformats.org/officeDocument/2006/relationships/package" Target="../embeddings/Microsoft_Word_Document114.docx"/><Relationship Id="rId247" Type="http://schemas.openxmlformats.org/officeDocument/2006/relationships/package" Target="../embeddings/Microsoft_Word_Document125.docx"/><Relationship Id="rId107" Type="http://schemas.openxmlformats.org/officeDocument/2006/relationships/package" Target="../embeddings/Microsoft_Word_Document53.docx"/><Relationship Id="rId11" Type="http://schemas.openxmlformats.org/officeDocument/2006/relationships/image" Target="../media/image4.emf"/><Relationship Id="rId32" Type="http://schemas.openxmlformats.org/officeDocument/2006/relationships/image" Target="../media/image14.emf"/><Relationship Id="rId53" Type="http://schemas.openxmlformats.org/officeDocument/2006/relationships/package" Target="../embeddings/Microsoft_Word_Document25.docx"/><Relationship Id="rId74" Type="http://schemas.openxmlformats.org/officeDocument/2006/relationships/image" Target="../media/image35.emf"/><Relationship Id="rId128" Type="http://schemas.openxmlformats.org/officeDocument/2006/relationships/image" Target="../media/image61.emf"/><Relationship Id="rId149" Type="http://schemas.openxmlformats.org/officeDocument/2006/relationships/image" Target="../media/image71.emf"/><Relationship Id="rId5" Type="http://schemas.openxmlformats.org/officeDocument/2006/relationships/image" Target="../media/image1.emf"/><Relationship Id="rId95" Type="http://schemas.openxmlformats.org/officeDocument/2006/relationships/image" Target="../media/image45.emf"/><Relationship Id="rId160" Type="http://schemas.openxmlformats.org/officeDocument/2006/relationships/package" Target="../embeddings/Microsoft_Word_Document80.docx"/><Relationship Id="rId181" Type="http://schemas.openxmlformats.org/officeDocument/2006/relationships/image" Target="../media/image87.emf"/><Relationship Id="rId216" Type="http://schemas.openxmlformats.org/officeDocument/2006/relationships/package" Target="../embeddings/Microsoft_Word_Document109.docx"/><Relationship Id="rId237" Type="http://schemas.openxmlformats.org/officeDocument/2006/relationships/image" Target="../media/image114.emf"/><Relationship Id="rId22" Type="http://schemas.openxmlformats.org/officeDocument/2006/relationships/package" Target="../embeddings/Microsoft_Word_Document9.docx"/><Relationship Id="rId43" Type="http://schemas.openxmlformats.org/officeDocument/2006/relationships/package" Target="../embeddings/Microsoft_Word_Document20.docx"/><Relationship Id="rId64" Type="http://schemas.openxmlformats.org/officeDocument/2006/relationships/image" Target="../media/image30.emf"/><Relationship Id="rId118" Type="http://schemas.openxmlformats.org/officeDocument/2006/relationships/image" Target="../media/image56.emf"/><Relationship Id="rId139" Type="http://schemas.openxmlformats.org/officeDocument/2006/relationships/package" Target="../embeddings/Microsoft_Word_Document69.docx"/><Relationship Id="rId85" Type="http://schemas.openxmlformats.org/officeDocument/2006/relationships/image" Target="../media/image40.emf"/><Relationship Id="rId150" Type="http://schemas.openxmlformats.org/officeDocument/2006/relationships/package" Target="../embeddings/Microsoft_Word_Document75.docx"/><Relationship Id="rId171" Type="http://schemas.openxmlformats.org/officeDocument/2006/relationships/image" Target="../media/image82.emf"/><Relationship Id="rId192" Type="http://schemas.openxmlformats.org/officeDocument/2006/relationships/package" Target="../embeddings/Microsoft_Word_Document96.docx"/><Relationship Id="rId206" Type="http://schemas.openxmlformats.org/officeDocument/2006/relationships/package" Target="../embeddings/Microsoft_Word_Document103.docx"/><Relationship Id="rId227" Type="http://schemas.openxmlformats.org/officeDocument/2006/relationships/image" Target="../media/image109.emf"/><Relationship Id="rId248" Type="http://schemas.openxmlformats.org/officeDocument/2006/relationships/image" Target="../media/image119.emf"/><Relationship Id="rId12" Type="http://schemas.openxmlformats.org/officeDocument/2006/relationships/package" Target="../embeddings/Microsoft_Word_Document4.docx"/><Relationship Id="rId17" Type="http://schemas.openxmlformats.org/officeDocument/2006/relationships/image" Target="../media/image7.emf"/><Relationship Id="rId33" Type="http://schemas.openxmlformats.org/officeDocument/2006/relationships/package" Target="../embeddings/Microsoft_Word_Document15.docx"/><Relationship Id="rId38" Type="http://schemas.openxmlformats.org/officeDocument/2006/relationships/image" Target="../media/image17.emf"/><Relationship Id="rId59" Type="http://schemas.openxmlformats.org/officeDocument/2006/relationships/package" Target="../embeddings/Microsoft_Word_Document28.docx"/><Relationship Id="rId103" Type="http://schemas.openxmlformats.org/officeDocument/2006/relationships/image" Target="../media/image49.emf"/><Relationship Id="rId108" Type="http://schemas.openxmlformats.org/officeDocument/2006/relationships/image" Target="../media/image51.emf"/><Relationship Id="rId124" Type="http://schemas.openxmlformats.org/officeDocument/2006/relationships/image" Target="../media/image59.emf"/><Relationship Id="rId129" Type="http://schemas.openxmlformats.org/officeDocument/2006/relationships/package" Target="../embeddings/Microsoft_Word_Document64.docx"/><Relationship Id="rId54" Type="http://schemas.openxmlformats.org/officeDocument/2006/relationships/image" Target="../media/image25.emf"/><Relationship Id="rId70" Type="http://schemas.openxmlformats.org/officeDocument/2006/relationships/image" Target="../media/image33.emf"/><Relationship Id="rId75" Type="http://schemas.openxmlformats.org/officeDocument/2006/relationships/package" Target="../embeddings/Microsoft_Word_Document36.docx"/><Relationship Id="rId91" Type="http://schemas.openxmlformats.org/officeDocument/2006/relationships/image" Target="../media/image43.emf"/><Relationship Id="rId96" Type="http://schemas.openxmlformats.org/officeDocument/2006/relationships/package" Target="../embeddings/Microsoft_Word_Document47.docx"/><Relationship Id="rId140" Type="http://schemas.openxmlformats.org/officeDocument/2006/relationships/image" Target="../media/image67.emf"/><Relationship Id="rId145" Type="http://schemas.openxmlformats.org/officeDocument/2006/relationships/package" Target="../embeddings/Microsoft_Word_Document72.docx"/><Relationship Id="rId161" Type="http://schemas.openxmlformats.org/officeDocument/2006/relationships/image" Target="../media/image77.emf"/><Relationship Id="rId166" Type="http://schemas.openxmlformats.org/officeDocument/2006/relationships/package" Target="../embeddings/Microsoft_Word_Document83.docx"/><Relationship Id="rId182" Type="http://schemas.openxmlformats.org/officeDocument/2006/relationships/package" Target="../embeddings/Microsoft_Word_Document91.docx"/><Relationship Id="rId187" Type="http://schemas.openxmlformats.org/officeDocument/2006/relationships/image" Target="../media/image90.emf"/><Relationship Id="rId217" Type="http://schemas.openxmlformats.org/officeDocument/2006/relationships/image" Target="../media/image104.emf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212" Type="http://schemas.openxmlformats.org/officeDocument/2006/relationships/package" Target="../embeddings/Microsoft_Word_Document106.docx"/><Relationship Id="rId233" Type="http://schemas.openxmlformats.org/officeDocument/2006/relationships/image" Target="../media/image112.emf"/><Relationship Id="rId238" Type="http://schemas.openxmlformats.org/officeDocument/2006/relationships/package" Target="../embeddings/Microsoft_Word_Document120.docx"/><Relationship Id="rId23" Type="http://schemas.openxmlformats.org/officeDocument/2006/relationships/image" Target="../media/image10.emf"/><Relationship Id="rId28" Type="http://schemas.openxmlformats.org/officeDocument/2006/relationships/package" Target="../embeddings/Microsoft_Word_Document12.docx"/><Relationship Id="rId49" Type="http://schemas.openxmlformats.org/officeDocument/2006/relationships/package" Target="../embeddings/Microsoft_Word_Document23.docx"/><Relationship Id="rId114" Type="http://schemas.openxmlformats.org/officeDocument/2006/relationships/image" Target="../media/image54.emf"/><Relationship Id="rId119" Type="http://schemas.openxmlformats.org/officeDocument/2006/relationships/package" Target="../embeddings/Microsoft_Word_Document59.docx"/><Relationship Id="rId44" Type="http://schemas.openxmlformats.org/officeDocument/2006/relationships/image" Target="../media/image20.emf"/><Relationship Id="rId60" Type="http://schemas.openxmlformats.org/officeDocument/2006/relationships/image" Target="../media/image28.emf"/><Relationship Id="rId65" Type="http://schemas.openxmlformats.org/officeDocument/2006/relationships/package" Target="../embeddings/Microsoft_Word_Document31.docx"/><Relationship Id="rId81" Type="http://schemas.openxmlformats.org/officeDocument/2006/relationships/package" Target="../embeddings/Microsoft_Word_Document39.docx"/><Relationship Id="rId86" Type="http://schemas.openxmlformats.org/officeDocument/2006/relationships/package" Target="../embeddings/Microsoft_Word_Document42.docx"/><Relationship Id="rId130" Type="http://schemas.openxmlformats.org/officeDocument/2006/relationships/image" Target="../media/image62.emf"/><Relationship Id="rId135" Type="http://schemas.openxmlformats.org/officeDocument/2006/relationships/package" Target="../embeddings/Microsoft_Word_Document67.docx"/><Relationship Id="rId151" Type="http://schemas.openxmlformats.org/officeDocument/2006/relationships/image" Target="../media/image72.emf"/><Relationship Id="rId156" Type="http://schemas.openxmlformats.org/officeDocument/2006/relationships/package" Target="../embeddings/Microsoft_Word_Document78.docx"/><Relationship Id="rId177" Type="http://schemas.openxmlformats.org/officeDocument/2006/relationships/image" Target="../media/image85.emf"/><Relationship Id="rId198" Type="http://schemas.openxmlformats.org/officeDocument/2006/relationships/package" Target="../embeddings/Microsoft_Word_Document99.docx"/><Relationship Id="rId172" Type="http://schemas.openxmlformats.org/officeDocument/2006/relationships/package" Target="../embeddings/Microsoft_Word_Document86.docx"/><Relationship Id="rId193" Type="http://schemas.openxmlformats.org/officeDocument/2006/relationships/image" Target="../media/image93.emf"/><Relationship Id="rId202" Type="http://schemas.openxmlformats.org/officeDocument/2006/relationships/package" Target="../embeddings/Microsoft_Word_Document101.docx"/><Relationship Id="rId207" Type="http://schemas.openxmlformats.org/officeDocument/2006/relationships/image" Target="../media/image100.emf"/><Relationship Id="rId223" Type="http://schemas.openxmlformats.org/officeDocument/2006/relationships/image" Target="../media/image107.emf"/><Relationship Id="rId228" Type="http://schemas.openxmlformats.org/officeDocument/2006/relationships/package" Target="../embeddings/Microsoft_Word_Document115.docx"/><Relationship Id="rId244" Type="http://schemas.openxmlformats.org/officeDocument/2006/relationships/image" Target="../media/image117.emf"/><Relationship Id="rId249" Type="http://schemas.openxmlformats.org/officeDocument/2006/relationships/package" Target="../embeddings/Microsoft_Word_Document126.docx"/><Relationship Id="rId13" Type="http://schemas.openxmlformats.org/officeDocument/2006/relationships/image" Target="../media/image5.emf"/><Relationship Id="rId18" Type="http://schemas.openxmlformats.org/officeDocument/2006/relationships/package" Target="../embeddings/Microsoft_Word_Document7.docx"/><Relationship Id="rId39" Type="http://schemas.openxmlformats.org/officeDocument/2006/relationships/package" Target="../embeddings/Microsoft_Word_Document18.docx"/><Relationship Id="rId109" Type="http://schemas.openxmlformats.org/officeDocument/2006/relationships/package" Target="../embeddings/Microsoft_Word_Document54.docx"/><Relationship Id="rId34" Type="http://schemas.openxmlformats.org/officeDocument/2006/relationships/image" Target="../media/image15.emf"/><Relationship Id="rId50" Type="http://schemas.openxmlformats.org/officeDocument/2006/relationships/image" Target="../media/image23.emf"/><Relationship Id="rId55" Type="http://schemas.openxmlformats.org/officeDocument/2006/relationships/package" Target="../embeddings/Microsoft_Word_Document26.docx"/><Relationship Id="rId76" Type="http://schemas.openxmlformats.org/officeDocument/2006/relationships/image" Target="../media/image36.emf"/><Relationship Id="rId97" Type="http://schemas.openxmlformats.org/officeDocument/2006/relationships/image" Target="../media/image46.emf"/><Relationship Id="rId104" Type="http://schemas.openxmlformats.org/officeDocument/2006/relationships/package" Target="../embeddings/Microsoft_Word_Document51.docx"/><Relationship Id="rId120" Type="http://schemas.openxmlformats.org/officeDocument/2006/relationships/image" Target="../media/image57.emf"/><Relationship Id="rId125" Type="http://schemas.openxmlformats.org/officeDocument/2006/relationships/package" Target="../embeddings/Microsoft_Word_Document62.docx"/><Relationship Id="rId141" Type="http://schemas.openxmlformats.org/officeDocument/2006/relationships/package" Target="../embeddings/Microsoft_Word_Document70.docx"/><Relationship Id="rId146" Type="http://schemas.openxmlformats.org/officeDocument/2006/relationships/image" Target="../media/image70.emf"/><Relationship Id="rId167" Type="http://schemas.openxmlformats.org/officeDocument/2006/relationships/image" Target="../media/image80.emf"/><Relationship Id="rId188" Type="http://schemas.openxmlformats.org/officeDocument/2006/relationships/package" Target="../embeddings/Microsoft_Word_Document94.docx"/><Relationship Id="rId7" Type="http://schemas.openxmlformats.org/officeDocument/2006/relationships/image" Target="../media/image2.emf"/><Relationship Id="rId71" Type="http://schemas.openxmlformats.org/officeDocument/2006/relationships/package" Target="../embeddings/Microsoft_Word_Document34.docx"/><Relationship Id="rId92" Type="http://schemas.openxmlformats.org/officeDocument/2006/relationships/package" Target="../embeddings/Microsoft_Word_Document45.docx"/><Relationship Id="rId162" Type="http://schemas.openxmlformats.org/officeDocument/2006/relationships/package" Target="../embeddings/Microsoft_Word_Document81.docx"/><Relationship Id="rId183" Type="http://schemas.openxmlformats.org/officeDocument/2006/relationships/image" Target="../media/image88.emf"/><Relationship Id="rId213" Type="http://schemas.openxmlformats.org/officeDocument/2006/relationships/package" Target="../embeddings/Microsoft_Word_Document107.docx"/><Relationship Id="rId218" Type="http://schemas.openxmlformats.org/officeDocument/2006/relationships/package" Target="../embeddings/Microsoft_Word_Document110.docx"/><Relationship Id="rId234" Type="http://schemas.openxmlformats.org/officeDocument/2006/relationships/package" Target="../embeddings/Microsoft_Word_Document118.docx"/><Relationship Id="rId239" Type="http://schemas.openxmlformats.org/officeDocument/2006/relationships/package" Target="../embeddings/Microsoft_Word_Document121.docx"/><Relationship Id="rId2" Type="http://schemas.openxmlformats.org/officeDocument/2006/relationships/drawing" Target="../drawings/drawing1.xml"/><Relationship Id="rId29" Type="http://schemas.openxmlformats.org/officeDocument/2006/relationships/package" Target="../embeddings/Microsoft_Word_Document13.docx"/><Relationship Id="rId250" Type="http://schemas.openxmlformats.org/officeDocument/2006/relationships/image" Target="../media/image120.emf"/><Relationship Id="rId24" Type="http://schemas.openxmlformats.org/officeDocument/2006/relationships/package" Target="../embeddings/Microsoft_Word_Document10.docx"/><Relationship Id="rId40" Type="http://schemas.openxmlformats.org/officeDocument/2006/relationships/image" Target="../media/image18.emf"/><Relationship Id="rId45" Type="http://schemas.openxmlformats.org/officeDocument/2006/relationships/package" Target="../embeddings/Microsoft_Word_Document21.docx"/><Relationship Id="rId66" Type="http://schemas.openxmlformats.org/officeDocument/2006/relationships/image" Target="../media/image31.emf"/><Relationship Id="rId87" Type="http://schemas.openxmlformats.org/officeDocument/2006/relationships/image" Target="../media/image41.emf"/><Relationship Id="rId110" Type="http://schemas.openxmlformats.org/officeDocument/2006/relationships/image" Target="../media/image52.emf"/><Relationship Id="rId115" Type="http://schemas.openxmlformats.org/officeDocument/2006/relationships/package" Target="../embeddings/Microsoft_Word_Document57.docx"/><Relationship Id="rId131" Type="http://schemas.openxmlformats.org/officeDocument/2006/relationships/package" Target="../embeddings/Microsoft_Word_Document65.docx"/><Relationship Id="rId136" Type="http://schemas.openxmlformats.org/officeDocument/2006/relationships/image" Target="../media/image65.emf"/><Relationship Id="rId157" Type="http://schemas.openxmlformats.org/officeDocument/2006/relationships/image" Target="../media/image75.emf"/><Relationship Id="rId178" Type="http://schemas.openxmlformats.org/officeDocument/2006/relationships/package" Target="../embeddings/Microsoft_Word_Document89.docx"/><Relationship Id="rId61" Type="http://schemas.openxmlformats.org/officeDocument/2006/relationships/package" Target="../embeddings/Microsoft_Word_Document29.docx"/><Relationship Id="rId82" Type="http://schemas.openxmlformats.org/officeDocument/2006/relationships/package" Target="../embeddings/Microsoft_Word_Document40.docx"/><Relationship Id="rId152" Type="http://schemas.openxmlformats.org/officeDocument/2006/relationships/package" Target="../embeddings/Microsoft_Word_Document76.docx"/><Relationship Id="rId173" Type="http://schemas.openxmlformats.org/officeDocument/2006/relationships/image" Target="../media/image83.emf"/><Relationship Id="rId194" Type="http://schemas.openxmlformats.org/officeDocument/2006/relationships/package" Target="../embeddings/Microsoft_Word_Document97.docx"/><Relationship Id="rId199" Type="http://schemas.openxmlformats.org/officeDocument/2006/relationships/image" Target="../media/image96.emf"/><Relationship Id="rId203" Type="http://schemas.openxmlformats.org/officeDocument/2006/relationships/image" Target="../media/image98.emf"/><Relationship Id="rId208" Type="http://schemas.openxmlformats.org/officeDocument/2006/relationships/package" Target="../embeddings/Microsoft_Word_Document104.docx"/><Relationship Id="rId229" Type="http://schemas.openxmlformats.org/officeDocument/2006/relationships/image" Target="../media/image110.emf"/><Relationship Id="rId19" Type="http://schemas.openxmlformats.org/officeDocument/2006/relationships/image" Target="../media/image8.emf"/><Relationship Id="rId224" Type="http://schemas.openxmlformats.org/officeDocument/2006/relationships/package" Target="../embeddings/Microsoft_Word_Document113.docx"/><Relationship Id="rId240" Type="http://schemas.openxmlformats.org/officeDocument/2006/relationships/image" Target="../media/image115.emf"/><Relationship Id="rId245" Type="http://schemas.openxmlformats.org/officeDocument/2006/relationships/package" Target="../embeddings/Microsoft_Word_Document124.docx"/><Relationship Id="rId14" Type="http://schemas.openxmlformats.org/officeDocument/2006/relationships/package" Target="../embeddings/Microsoft_Word_Document5.docx"/><Relationship Id="rId30" Type="http://schemas.openxmlformats.org/officeDocument/2006/relationships/image" Target="../media/image13.emf"/><Relationship Id="rId35" Type="http://schemas.openxmlformats.org/officeDocument/2006/relationships/package" Target="../embeddings/Microsoft_Word_Document16.docx"/><Relationship Id="rId56" Type="http://schemas.openxmlformats.org/officeDocument/2006/relationships/image" Target="../media/image26.emf"/><Relationship Id="rId77" Type="http://schemas.openxmlformats.org/officeDocument/2006/relationships/package" Target="../embeddings/Microsoft_Word_Document37.docx"/><Relationship Id="rId100" Type="http://schemas.openxmlformats.org/officeDocument/2006/relationships/package" Target="../embeddings/Microsoft_Word_Document49.docx"/><Relationship Id="rId105" Type="http://schemas.openxmlformats.org/officeDocument/2006/relationships/image" Target="../media/image50.emf"/><Relationship Id="rId126" Type="http://schemas.openxmlformats.org/officeDocument/2006/relationships/image" Target="../media/image60.emf"/><Relationship Id="rId147" Type="http://schemas.openxmlformats.org/officeDocument/2006/relationships/package" Target="../embeddings/Microsoft_Word_Document73.docx"/><Relationship Id="rId168" Type="http://schemas.openxmlformats.org/officeDocument/2006/relationships/package" Target="../embeddings/Microsoft_Word_Document84.docx"/><Relationship Id="rId8" Type="http://schemas.openxmlformats.org/officeDocument/2006/relationships/package" Target="../embeddings/Microsoft_Word_Document2.docx"/><Relationship Id="rId51" Type="http://schemas.openxmlformats.org/officeDocument/2006/relationships/package" Target="../embeddings/Microsoft_Word_Document24.docx"/><Relationship Id="rId72" Type="http://schemas.openxmlformats.org/officeDocument/2006/relationships/image" Target="../media/image34.emf"/><Relationship Id="rId93" Type="http://schemas.openxmlformats.org/officeDocument/2006/relationships/image" Target="../media/image44.emf"/><Relationship Id="rId98" Type="http://schemas.openxmlformats.org/officeDocument/2006/relationships/package" Target="../embeddings/Microsoft_Word_Document48.docx"/><Relationship Id="rId121" Type="http://schemas.openxmlformats.org/officeDocument/2006/relationships/package" Target="../embeddings/Microsoft_Word_Document60.docx"/><Relationship Id="rId142" Type="http://schemas.openxmlformats.org/officeDocument/2006/relationships/image" Target="../media/image68.emf"/><Relationship Id="rId163" Type="http://schemas.openxmlformats.org/officeDocument/2006/relationships/image" Target="../media/image78.emf"/><Relationship Id="rId184" Type="http://schemas.openxmlformats.org/officeDocument/2006/relationships/package" Target="../embeddings/Microsoft_Word_Document92.docx"/><Relationship Id="rId189" Type="http://schemas.openxmlformats.org/officeDocument/2006/relationships/image" Target="../media/image91.emf"/><Relationship Id="rId219" Type="http://schemas.openxmlformats.org/officeDocument/2006/relationships/image" Target="../media/image105.emf"/><Relationship Id="rId3" Type="http://schemas.openxmlformats.org/officeDocument/2006/relationships/vmlDrawing" Target="../drawings/vmlDrawing1.vml"/><Relationship Id="rId214" Type="http://schemas.openxmlformats.org/officeDocument/2006/relationships/image" Target="../media/image103.emf"/><Relationship Id="rId230" Type="http://schemas.openxmlformats.org/officeDocument/2006/relationships/package" Target="../embeddings/Microsoft_Word_Document116.docx"/><Relationship Id="rId235" Type="http://schemas.openxmlformats.org/officeDocument/2006/relationships/image" Target="../media/image113.emf"/><Relationship Id="rId251" Type="http://schemas.openxmlformats.org/officeDocument/2006/relationships/package" Target="../embeddings/Microsoft_Word_Document127.docx"/><Relationship Id="rId25" Type="http://schemas.openxmlformats.org/officeDocument/2006/relationships/image" Target="../media/image11.emf"/><Relationship Id="rId46" Type="http://schemas.openxmlformats.org/officeDocument/2006/relationships/image" Target="../media/image21.emf"/><Relationship Id="rId67" Type="http://schemas.openxmlformats.org/officeDocument/2006/relationships/package" Target="../embeddings/Microsoft_Word_Document32.docx"/><Relationship Id="rId116" Type="http://schemas.openxmlformats.org/officeDocument/2006/relationships/image" Target="../media/image55.emf"/><Relationship Id="rId137" Type="http://schemas.openxmlformats.org/officeDocument/2006/relationships/package" Target="../embeddings/Microsoft_Word_Document68.docx"/><Relationship Id="rId158" Type="http://schemas.openxmlformats.org/officeDocument/2006/relationships/package" Target="../embeddings/Microsoft_Word_Document79.docx"/><Relationship Id="rId20" Type="http://schemas.openxmlformats.org/officeDocument/2006/relationships/package" Target="../embeddings/Microsoft_Word_Document8.docx"/><Relationship Id="rId41" Type="http://schemas.openxmlformats.org/officeDocument/2006/relationships/package" Target="../embeddings/Microsoft_Word_Document19.docx"/><Relationship Id="rId62" Type="http://schemas.openxmlformats.org/officeDocument/2006/relationships/image" Target="../media/image29.emf"/><Relationship Id="rId83" Type="http://schemas.openxmlformats.org/officeDocument/2006/relationships/image" Target="../media/image39.emf"/><Relationship Id="rId88" Type="http://schemas.openxmlformats.org/officeDocument/2006/relationships/package" Target="../embeddings/Microsoft_Word_Document43.docx"/><Relationship Id="rId111" Type="http://schemas.openxmlformats.org/officeDocument/2006/relationships/package" Target="../embeddings/Microsoft_Word_Document55.docx"/><Relationship Id="rId132" Type="http://schemas.openxmlformats.org/officeDocument/2006/relationships/image" Target="../media/image63.emf"/><Relationship Id="rId153" Type="http://schemas.openxmlformats.org/officeDocument/2006/relationships/image" Target="../media/image73.emf"/><Relationship Id="rId174" Type="http://schemas.openxmlformats.org/officeDocument/2006/relationships/package" Target="../embeddings/Microsoft_Word_Document87.docx"/><Relationship Id="rId179" Type="http://schemas.openxmlformats.org/officeDocument/2006/relationships/image" Target="../media/image86.emf"/><Relationship Id="rId195" Type="http://schemas.openxmlformats.org/officeDocument/2006/relationships/image" Target="../media/image94.emf"/><Relationship Id="rId209" Type="http://schemas.openxmlformats.org/officeDocument/2006/relationships/image" Target="../media/image101.emf"/><Relationship Id="rId190" Type="http://schemas.openxmlformats.org/officeDocument/2006/relationships/package" Target="../embeddings/Microsoft_Word_Document95.docx"/><Relationship Id="rId204" Type="http://schemas.openxmlformats.org/officeDocument/2006/relationships/package" Target="../embeddings/Microsoft_Word_Document102.docx"/><Relationship Id="rId220" Type="http://schemas.openxmlformats.org/officeDocument/2006/relationships/package" Target="../embeddings/Microsoft_Word_Document111.docx"/><Relationship Id="rId225" Type="http://schemas.openxmlformats.org/officeDocument/2006/relationships/image" Target="../media/image108.emf"/><Relationship Id="rId241" Type="http://schemas.openxmlformats.org/officeDocument/2006/relationships/package" Target="../embeddings/Microsoft_Word_Document122.docx"/><Relationship Id="rId246" Type="http://schemas.openxmlformats.org/officeDocument/2006/relationships/image" Target="../media/image118.emf"/><Relationship Id="rId15" Type="http://schemas.openxmlformats.org/officeDocument/2006/relationships/image" Target="../media/image6.emf"/><Relationship Id="rId36" Type="http://schemas.openxmlformats.org/officeDocument/2006/relationships/image" Target="../media/image16.emf"/><Relationship Id="rId57" Type="http://schemas.openxmlformats.org/officeDocument/2006/relationships/package" Target="../embeddings/Microsoft_Word_Document27.docx"/><Relationship Id="rId106" Type="http://schemas.openxmlformats.org/officeDocument/2006/relationships/package" Target="../embeddings/Microsoft_Word_Document52.docx"/><Relationship Id="rId127" Type="http://schemas.openxmlformats.org/officeDocument/2006/relationships/package" Target="../embeddings/Microsoft_Word_Document63.docx"/><Relationship Id="rId10" Type="http://schemas.openxmlformats.org/officeDocument/2006/relationships/package" Target="../embeddings/Microsoft_Word_Document3.docx"/><Relationship Id="rId31" Type="http://schemas.openxmlformats.org/officeDocument/2006/relationships/package" Target="../embeddings/Microsoft_Word_Document14.docx"/><Relationship Id="rId52" Type="http://schemas.openxmlformats.org/officeDocument/2006/relationships/image" Target="../media/image24.emf"/><Relationship Id="rId73" Type="http://schemas.openxmlformats.org/officeDocument/2006/relationships/package" Target="../embeddings/Microsoft_Word_Document35.docx"/><Relationship Id="rId78" Type="http://schemas.openxmlformats.org/officeDocument/2006/relationships/image" Target="../media/image37.emf"/><Relationship Id="rId94" Type="http://schemas.openxmlformats.org/officeDocument/2006/relationships/package" Target="../embeddings/Microsoft_Word_Document46.docx"/><Relationship Id="rId99" Type="http://schemas.openxmlformats.org/officeDocument/2006/relationships/image" Target="../media/image47.emf"/><Relationship Id="rId101" Type="http://schemas.openxmlformats.org/officeDocument/2006/relationships/image" Target="../media/image48.emf"/><Relationship Id="rId122" Type="http://schemas.openxmlformats.org/officeDocument/2006/relationships/image" Target="../media/image58.emf"/><Relationship Id="rId143" Type="http://schemas.openxmlformats.org/officeDocument/2006/relationships/package" Target="../embeddings/Microsoft_Word_Document71.docx"/><Relationship Id="rId148" Type="http://schemas.openxmlformats.org/officeDocument/2006/relationships/package" Target="../embeddings/Microsoft_Word_Document74.docx"/><Relationship Id="rId164" Type="http://schemas.openxmlformats.org/officeDocument/2006/relationships/package" Target="../embeddings/Microsoft_Word_Document82.docx"/><Relationship Id="rId169" Type="http://schemas.openxmlformats.org/officeDocument/2006/relationships/image" Target="../media/image81.emf"/><Relationship Id="rId185" Type="http://schemas.openxmlformats.org/officeDocument/2006/relationships/image" Target="../media/image89.emf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Relationship Id="rId180" Type="http://schemas.openxmlformats.org/officeDocument/2006/relationships/package" Target="../embeddings/Microsoft_Word_Document90.docx"/><Relationship Id="rId210" Type="http://schemas.openxmlformats.org/officeDocument/2006/relationships/package" Target="../embeddings/Microsoft_Word_Document105.docx"/><Relationship Id="rId215" Type="http://schemas.openxmlformats.org/officeDocument/2006/relationships/package" Target="../embeddings/Microsoft_Word_Document108.docx"/><Relationship Id="rId236" Type="http://schemas.openxmlformats.org/officeDocument/2006/relationships/package" Target="../embeddings/Microsoft_Word_Document119.docx"/><Relationship Id="rId26" Type="http://schemas.openxmlformats.org/officeDocument/2006/relationships/package" Target="../embeddings/Microsoft_Word_Document11.docx"/><Relationship Id="rId231" Type="http://schemas.openxmlformats.org/officeDocument/2006/relationships/image" Target="../media/image111.emf"/><Relationship Id="rId252" Type="http://schemas.openxmlformats.org/officeDocument/2006/relationships/image" Target="../media/image121.emf"/><Relationship Id="rId47" Type="http://schemas.openxmlformats.org/officeDocument/2006/relationships/package" Target="../embeddings/Microsoft_Word_Document22.docx"/><Relationship Id="rId68" Type="http://schemas.openxmlformats.org/officeDocument/2006/relationships/image" Target="../media/image32.emf"/><Relationship Id="rId89" Type="http://schemas.openxmlformats.org/officeDocument/2006/relationships/image" Target="../media/image42.emf"/><Relationship Id="rId112" Type="http://schemas.openxmlformats.org/officeDocument/2006/relationships/image" Target="../media/image53.emf"/><Relationship Id="rId133" Type="http://schemas.openxmlformats.org/officeDocument/2006/relationships/package" Target="../embeddings/Microsoft_Word_Document66.docx"/><Relationship Id="rId154" Type="http://schemas.openxmlformats.org/officeDocument/2006/relationships/package" Target="../embeddings/Microsoft_Word_Document77.docx"/><Relationship Id="rId175" Type="http://schemas.openxmlformats.org/officeDocument/2006/relationships/image" Target="../media/image84.emf"/><Relationship Id="rId196" Type="http://schemas.openxmlformats.org/officeDocument/2006/relationships/package" Target="../embeddings/Microsoft_Word_Document98.docx"/><Relationship Id="rId200" Type="http://schemas.openxmlformats.org/officeDocument/2006/relationships/package" Target="../embeddings/Microsoft_Word_Document100.docx"/><Relationship Id="rId16" Type="http://schemas.openxmlformats.org/officeDocument/2006/relationships/package" Target="../embeddings/Microsoft_Word_Document6.docx"/><Relationship Id="rId221" Type="http://schemas.openxmlformats.org/officeDocument/2006/relationships/image" Target="../media/image106.emf"/><Relationship Id="rId242" Type="http://schemas.openxmlformats.org/officeDocument/2006/relationships/image" Target="../media/image116.emf"/><Relationship Id="rId37" Type="http://schemas.openxmlformats.org/officeDocument/2006/relationships/package" Target="../embeddings/Microsoft_Word_Document17.docx"/><Relationship Id="rId58" Type="http://schemas.openxmlformats.org/officeDocument/2006/relationships/image" Target="../media/image27.emf"/><Relationship Id="rId79" Type="http://schemas.openxmlformats.org/officeDocument/2006/relationships/package" Target="../embeddings/Microsoft_Word_Document38.docx"/><Relationship Id="rId102" Type="http://schemas.openxmlformats.org/officeDocument/2006/relationships/package" Target="../embeddings/Microsoft_Word_Document50.docx"/><Relationship Id="rId123" Type="http://schemas.openxmlformats.org/officeDocument/2006/relationships/package" Target="../embeddings/Microsoft_Word_Document61.docx"/><Relationship Id="rId144" Type="http://schemas.openxmlformats.org/officeDocument/2006/relationships/image" Target="../media/image69.emf"/><Relationship Id="rId90" Type="http://schemas.openxmlformats.org/officeDocument/2006/relationships/package" Target="../embeddings/Microsoft_Word_Document44.docx"/><Relationship Id="rId165" Type="http://schemas.openxmlformats.org/officeDocument/2006/relationships/image" Target="../media/image79.emf"/><Relationship Id="rId186" Type="http://schemas.openxmlformats.org/officeDocument/2006/relationships/package" Target="../embeddings/Microsoft_Word_Document93.docx"/><Relationship Id="rId211" Type="http://schemas.openxmlformats.org/officeDocument/2006/relationships/image" Target="../media/image102.emf"/><Relationship Id="rId232" Type="http://schemas.openxmlformats.org/officeDocument/2006/relationships/package" Target="../embeddings/Microsoft_Word_Document117.docx"/><Relationship Id="rId27" Type="http://schemas.openxmlformats.org/officeDocument/2006/relationships/image" Target="../media/image12.emf"/><Relationship Id="rId48" Type="http://schemas.openxmlformats.org/officeDocument/2006/relationships/image" Target="../media/image22.emf"/><Relationship Id="rId69" Type="http://schemas.openxmlformats.org/officeDocument/2006/relationships/package" Target="../embeddings/Microsoft_Word_Document33.docx"/><Relationship Id="rId113" Type="http://schemas.openxmlformats.org/officeDocument/2006/relationships/package" Target="../embeddings/Microsoft_Word_Document56.docx"/><Relationship Id="rId134" Type="http://schemas.openxmlformats.org/officeDocument/2006/relationships/image" Target="../media/image64.emf"/><Relationship Id="rId80" Type="http://schemas.openxmlformats.org/officeDocument/2006/relationships/image" Target="../media/image38.emf"/><Relationship Id="rId155" Type="http://schemas.openxmlformats.org/officeDocument/2006/relationships/image" Target="../media/image74.emf"/><Relationship Id="rId176" Type="http://schemas.openxmlformats.org/officeDocument/2006/relationships/package" Target="../embeddings/Microsoft_Word_Document88.docx"/><Relationship Id="rId197" Type="http://schemas.openxmlformats.org/officeDocument/2006/relationships/image" Target="../media/image95.emf"/><Relationship Id="rId201" Type="http://schemas.openxmlformats.org/officeDocument/2006/relationships/image" Target="../media/image97.emf"/><Relationship Id="rId222" Type="http://schemas.openxmlformats.org/officeDocument/2006/relationships/package" Target="../embeddings/Microsoft_Word_Document112.docx"/><Relationship Id="rId243" Type="http://schemas.openxmlformats.org/officeDocument/2006/relationships/package" Target="../embeddings/Microsoft_Word_Document123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82"/>
  <sheetViews>
    <sheetView rightToLeft="1" workbookViewId="0">
      <selection activeCell="C1" sqref="C1:C1048576"/>
    </sheetView>
  </sheetViews>
  <sheetFormatPr defaultRowHeight="15" x14ac:dyDescent="0.25"/>
  <cols>
    <col min="3" max="3" width="8.5703125" customWidth="1"/>
    <col min="4" max="4" width="1.5703125" customWidth="1"/>
    <col min="5" max="5" width="8.5703125" customWidth="1"/>
    <col min="6" max="6" width="30.42578125" customWidth="1"/>
    <col min="7" max="11" width="6.5703125" customWidth="1"/>
    <col min="12" max="12" width="6.5703125" style="9" customWidth="1"/>
    <col min="13" max="26" width="6.5703125" customWidth="1"/>
    <col min="27" max="27" width="10" customWidth="1"/>
    <col min="28" max="34" width="6.5703125" customWidth="1"/>
  </cols>
  <sheetData>
    <row r="1" spans="1:34" x14ac:dyDescent="0.25">
      <c r="A1" s="1"/>
      <c r="B1" s="1"/>
      <c r="C1" s="1" t="s">
        <v>60</v>
      </c>
      <c r="D1" s="1" t="s">
        <v>62</v>
      </c>
      <c r="E1" s="1" t="s">
        <v>59</v>
      </c>
      <c r="F1" s="1"/>
      <c r="G1" s="1" t="s">
        <v>63</v>
      </c>
      <c r="H1" s="1"/>
      <c r="I1" s="1"/>
      <c r="J1" s="16"/>
      <c r="K1" s="17"/>
      <c r="L1" s="13" t="s">
        <v>61</v>
      </c>
      <c r="M1" s="1"/>
      <c r="N1" s="1"/>
      <c r="O1" s="1" t="s">
        <v>64</v>
      </c>
      <c r="P1" s="1" t="s">
        <v>65</v>
      </c>
      <c r="Q1" s="16"/>
      <c r="R1" s="17"/>
      <c r="S1" s="1"/>
      <c r="T1" s="1" t="s">
        <v>67</v>
      </c>
      <c r="U1" s="1" t="s">
        <v>68</v>
      </c>
      <c r="V1" s="1" t="s">
        <v>66</v>
      </c>
      <c r="W1" s="1" t="s">
        <v>69</v>
      </c>
      <c r="X1" s="1" t="s">
        <v>70</v>
      </c>
      <c r="Y1" s="1" t="s">
        <v>71</v>
      </c>
      <c r="Z1" s="1"/>
      <c r="AA1" s="1" t="s">
        <v>72</v>
      </c>
      <c r="AB1" s="16"/>
      <c r="AC1" s="16"/>
      <c r="AD1" s="17"/>
      <c r="AE1" s="17"/>
      <c r="AF1" s="18"/>
      <c r="AG1" s="1"/>
      <c r="AH1" s="19"/>
    </row>
    <row r="2" spans="1:34" x14ac:dyDescent="0.25">
      <c r="A2" s="1">
        <f>IF(MAX(A3,A4)&gt;1.5,3001,'TW-RBS وسط'!R6)</f>
        <v>3001</v>
      </c>
      <c r="B2" s="1">
        <f>IF('TW-RBS وسط'!R6&gt;3000,'TW-RBS وسط'!R6,A2)</f>
        <v>3001</v>
      </c>
      <c r="C2" s="15">
        <v>33.700000000000003</v>
      </c>
      <c r="D2" s="15">
        <f>C2/10</f>
        <v>3.37</v>
      </c>
      <c r="E2" s="13">
        <v>2.6</v>
      </c>
      <c r="F2" s="1" t="s">
        <v>81</v>
      </c>
      <c r="G2" s="13">
        <f t="shared" ref="G2:G33" si="0">E2/10</f>
        <v>0.26</v>
      </c>
      <c r="H2" s="13">
        <f>IF(('TW-RBS وسط'!R19-1.5*'TW-RBS وسط'!R20)&lt;=D2,D2,('TW-RBS وسط'!R19-1.5*'TW-RBS وسط'!R20))</f>
        <v>16.600000000000001</v>
      </c>
      <c r="I2" s="13">
        <f>2*'TW-RBS وسط'!R19-'TW-RBS وسط'!R20</f>
        <v>89.2</v>
      </c>
      <c r="J2" s="13">
        <f t="shared" ref="J2:J33" si="1">IF(D2&gt;I2,"Error",IF(D2&lt;H2,10000,D2))</f>
        <v>10000</v>
      </c>
      <c r="K2" s="13">
        <f t="shared" ref="K2:K33" si="2">IF(D2&gt;I2,10000,IF(D2&lt;H2,10000,G2))</f>
        <v>10000</v>
      </c>
      <c r="L2" s="13">
        <f>'TW-RBS وسط'!R20*'TW-RBS وسط'!R22*('TW-RBS وسط'!R19-'TW-RBS وسط'!R22)+(0.5*(G2^2)*('TW-RBS وسط'!R19-2*'TW-RBS وسط'!R22)^2)/(J2)</f>
        <v>2862.7302245000001</v>
      </c>
      <c r="M2" s="1">
        <f>B7*B8*'TW-RBS وسط'!R6*('TW-RBS وسط'!R26/'TW-RBS وسط'!AA75)*0.0000980665</f>
        <v>0.39079350758384157</v>
      </c>
      <c r="N2" s="1">
        <f>0.5*'TW-RBS وسط'!AF85*'TW-RBS وسط'!Z68*(10^(-2))</f>
        <v>8.4969999999999999</v>
      </c>
      <c r="O2" s="1">
        <f>M2*L2+N2</f>
        <v>1127.2333856986334</v>
      </c>
      <c r="P2" s="1">
        <f>'TW-RBS وسط'!AG113</f>
        <v>1130.355612993425</v>
      </c>
      <c r="Q2" s="1">
        <f>IF(O2&gt;P2,10000,J2)</f>
        <v>10000</v>
      </c>
      <c r="R2" s="1">
        <f>IF(O2&gt;P2,10000,K2)</f>
        <v>10000</v>
      </c>
      <c r="S2" s="1">
        <f>(2*B7*B8*'TW-RBS وسط'!R6*0.00980665)/'TW-RBS وسط'!AA75</f>
        <v>0.16115196189024394</v>
      </c>
      <c r="T2" s="1">
        <f>S2*L2</f>
        <v>461.3345920406735</v>
      </c>
      <c r="U2" s="1">
        <f>'TW-RBS وسط'!AF85*0.5</f>
        <v>29</v>
      </c>
      <c r="V2" s="1">
        <f>U2+T2</f>
        <v>490.3345920406735</v>
      </c>
      <c r="W2" s="1">
        <f>'TW-RBS وسط'!R26/'TW-RBS وسط'!AA75</f>
        <v>1.1374296435272047</v>
      </c>
      <c r="X2" s="1">
        <f>V2*W2</f>
        <v>557.72110023388063</v>
      </c>
      <c r="Y2" s="1">
        <f>'TW-RBS وسط'!AB139</f>
        <v>844.76444430000004</v>
      </c>
      <c r="Z2" s="1">
        <f>2*'TW-RBS وسط'!AD137*('TW-RBS وسط'!R19-2*'TW-RBS وسط'!R22)*0.00980665</f>
        <v>998.95064516548348</v>
      </c>
      <c r="AA2" s="1">
        <f t="shared" ref="AA2:AA33" si="3">Z2*R2</f>
        <v>9989506.4516548347</v>
      </c>
      <c r="AB2" s="1">
        <f>IF(V2&gt;0.9*AA2,10000,Q2)</f>
        <v>10000</v>
      </c>
      <c r="AC2" s="1">
        <f>IF(X2&gt;0.9*Y2,10000,AB2)</f>
        <v>10000</v>
      </c>
      <c r="AD2" s="1">
        <f t="shared" ref="AD2:AD33" si="4">IF(V2&gt;0.9*AA2,10000,R2)</f>
        <v>10000</v>
      </c>
      <c r="AE2" s="1">
        <f>IF(X2&gt;0.9*Y2,10000,AD2)</f>
        <v>10000</v>
      </c>
      <c r="AF2" s="1">
        <f>MAX(AC2,AB2)</f>
        <v>10000</v>
      </c>
      <c r="AG2" s="1" t="str">
        <f t="shared" ref="AG2:AG33" si="5">IF(MAX(AH2,AF2)=10000,"Error!",F2)</f>
        <v>Error!</v>
      </c>
      <c r="AH2" s="1">
        <f>MAX(AE2,AD2)</f>
        <v>10000</v>
      </c>
    </row>
    <row r="3" spans="1:34" x14ac:dyDescent="0.25">
      <c r="A3" s="1">
        <f>MAX('TW-RBS وسط'!R21,'TW-RBS وسط'!R22)</f>
        <v>1.8</v>
      </c>
      <c r="B3" s="1"/>
      <c r="C3" s="15">
        <v>33.700000000000003</v>
      </c>
      <c r="D3" s="15">
        <f t="shared" ref="D3:D66" si="6">C3/10</f>
        <v>3.37</v>
      </c>
      <c r="E3" s="13">
        <v>3.2</v>
      </c>
      <c r="F3" s="1" t="s">
        <v>82</v>
      </c>
      <c r="G3" s="13">
        <f t="shared" si="0"/>
        <v>0.32</v>
      </c>
      <c r="H3" s="13">
        <f t="shared" ref="H3:H34" si="7">$H$2</f>
        <v>16.600000000000001</v>
      </c>
      <c r="I3" s="13">
        <f t="shared" ref="I3:I34" si="8">$I$2</f>
        <v>89.2</v>
      </c>
      <c r="J3" s="13">
        <f t="shared" si="1"/>
        <v>10000</v>
      </c>
      <c r="K3" s="13">
        <f t="shared" si="2"/>
        <v>10000</v>
      </c>
      <c r="L3" s="13">
        <f>'TW-RBS وسط'!R20*'TW-RBS وسط'!R22*('TW-RBS وسط'!R19-'TW-RBS وسط'!R22)+(0.5*(G3^2)*('TW-RBS وسط'!R19-2*'TW-RBS وسط'!R22)^2)/(J3)</f>
        <v>2862.7354880000003</v>
      </c>
      <c r="M3" s="1">
        <f t="shared" ref="M3:M34" si="9">$M$2</f>
        <v>0.39079350758384157</v>
      </c>
      <c r="N3" s="1">
        <f t="shared" ref="N3:N34" si="10">$N$2</f>
        <v>8.4969999999999999</v>
      </c>
      <c r="O3" s="1">
        <f t="shared" ref="O3:O66" si="11">M3*L3+N3</f>
        <v>1127.2354426402605</v>
      </c>
      <c r="P3" s="1">
        <f t="shared" ref="P3:P34" si="12">$P$2</f>
        <v>1130.355612993425</v>
      </c>
      <c r="Q3" s="1">
        <f t="shared" ref="Q3:Q66" si="13">IF(O3&gt;P3,10000,J3)</f>
        <v>10000</v>
      </c>
      <c r="R3" s="1">
        <f t="shared" ref="R3:R66" si="14">IF(O3&gt;P3,10000,K3)</f>
        <v>10000</v>
      </c>
      <c r="S3" s="1">
        <f t="shared" ref="S3:S34" si="15">$S$2</f>
        <v>0.16115196189024394</v>
      </c>
      <c r="T3" s="1">
        <f t="shared" ref="T3:T66" si="16">S3*L3</f>
        <v>461.33544026402495</v>
      </c>
      <c r="U3" s="1">
        <f t="shared" ref="U3:U34" si="17">$U$2</f>
        <v>29</v>
      </c>
      <c r="V3" s="1">
        <f t="shared" ref="V3:V66" si="18">U3+T3</f>
        <v>490.33544026402495</v>
      </c>
      <c r="W3" s="1">
        <f t="shared" ref="W3:W34" si="19">$W$2</f>
        <v>1.1374296435272047</v>
      </c>
      <c r="X3" s="1">
        <f t="shared" ref="X3:X66" si="20">V3*W3</f>
        <v>557.72206502826486</v>
      </c>
      <c r="Y3" s="1">
        <f t="shared" ref="Y3:Y34" si="21">$Y$2</f>
        <v>844.76444430000004</v>
      </c>
      <c r="Z3" s="1">
        <f t="shared" ref="Z3:Z34" si="22">$Z$2</f>
        <v>998.95064516548348</v>
      </c>
      <c r="AA3" s="1">
        <f t="shared" si="3"/>
        <v>9989506.4516548347</v>
      </c>
      <c r="AB3" s="1">
        <f t="shared" ref="AB3:AB66" si="23">IF(V3&gt;0.9*AA3,10000,Q3)</f>
        <v>10000</v>
      </c>
      <c r="AC3" s="1">
        <f t="shared" ref="AC3:AC66" si="24">IF(X3&gt;0.9*Y3,10000,AB3)</f>
        <v>10000</v>
      </c>
      <c r="AD3" s="1">
        <f t="shared" si="4"/>
        <v>10000</v>
      </c>
      <c r="AE3" s="1">
        <f t="shared" ref="AE3:AE66" si="25">IF(X3&gt;0.9*Y3,10000,AD3)</f>
        <v>10000</v>
      </c>
      <c r="AF3" s="1">
        <f t="shared" ref="AF3:AF66" si="26">MAX(AC3,AB3)</f>
        <v>10000</v>
      </c>
      <c r="AG3" s="1" t="str">
        <f t="shared" si="5"/>
        <v>Error!</v>
      </c>
      <c r="AH3" s="1">
        <f t="shared" ref="AH3:AH66" si="27">MAX(AE3,AD3)</f>
        <v>10000</v>
      </c>
    </row>
    <row r="4" spans="1:34" x14ac:dyDescent="0.25">
      <c r="A4" s="1">
        <f>MAX('TW-RBS وسط'!AO21,'TW-RBS وسط'!AO22)</f>
        <v>1.8</v>
      </c>
      <c r="B4" s="1"/>
      <c r="C4" s="15">
        <v>33.700000000000003</v>
      </c>
      <c r="D4" s="15">
        <f t="shared" si="6"/>
        <v>3.37</v>
      </c>
      <c r="E4" s="13">
        <v>4</v>
      </c>
      <c r="F4" s="1" t="s">
        <v>83</v>
      </c>
      <c r="G4" s="13">
        <f t="shared" si="0"/>
        <v>0.4</v>
      </c>
      <c r="H4" s="13">
        <f t="shared" si="7"/>
        <v>16.600000000000001</v>
      </c>
      <c r="I4" s="13">
        <f t="shared" si="8"/>
        <v>89.2</v>
      </c>
      <c r="J4" s="13">
        <f t="shared" si="1"/>
        <v>10000</v>
      </c>
      <c r="K4" s="13">
        <f t="shared" si="2"/>
        <v>10000</v>
      </c>
      <c r="L4" s="13">
        <f>'TW-RBS وسط'!R20*'TW-RBS وسط'!R22*('TW-RBS وسط'!R19-'TW-RBS وسط'!R22)+(0.5*(G4^2)*('TW-RBS وسط'!R19-2*'TW-RBS وسط'!R22)^2)/(J4)</f>
        <v>2862.7442000000001</v>
      </c>
      <c r="M4" s="1">
        <f t="shared" si="9"/>
        <v>0.39079350758384157</v>
      </c>
      <c r="N4" s="1">
        <f t="shared" si="10"/>
        <v>8.4969999999999999</v>
      </c>
      <c r="O4" s="1">
        <f t="shared" si="11"/>
        <v>1127.2388472332987</v>
      </c>
      <c r="P4" s="1">
        <f t="shared" si="12"/>
        <v>1130.355612993425</v>
      </c>
      <c r="Q4" s="1">
        <f t="shared" si="13"/>
        <v>10000</v>
      </c>
      <c r="R4" s="1">
        <f t="shared" si="14"/>
        <v>10000</v>
      </c>
      <c r="S4" s="1">
        <f t="shared" si="15"/>
        <v>0.16115196189024394</v>
      </c>
      <c r="T4" s="1">
        <f t="shared" si="16"/>
        <v>461.33684421991688</v>
      </c>
      <c r="U4" s="1">
        <f t="shared" si="17"/>
        <v>29</v>
      </c>
      <c r="V4" s="1">
        <f t="shared" si="18"/>
        <v>490.33684421991688</v>
      </c>
      <c r="W4" s="1">
        <f t="shared" si="19"/>
        <v>1.1374296435272047</v>
      </c>
      <c r="X4" s="1">
        <f t="shared" si="20"/>
        <v>557.72366192931452</v>
      </c>
      <c r="Y4" s="1">
        <f t="shared" si="21"/>
        <v>844.76444430000004</v>
      </c>
      <c r="Z4" s="1">
        <f t="shared" si="22"/>
        <v>998.95064516548348</v>
      </c>
      <c r="AA4" s="1">
        <f t="shared" si="3"/>
        <v>9989506.4516548347</v>
      </c>
      <c r="AB4" s="1">
        <f t="shared" si="23"/>
        <v>10000</v>
      </c>
      <c r="AC4" s="1">
        <f t="shared" si="24"/>
        <v>10000</v>
      </c>
      <c r="AD4" s="1">
        <f t="shared" si="4"/>
        <v>10000</v>
      </c>
      <c r="AE4" s="1">
        <f t="shared" si="25"/>
        <v>10000</v>
      </c>
      <c r="AF4" s="1">
        <f t="shared" si="26"/>
        <v>10000</v>
      </c>
      <c r="AG4" s="1" t="str">
        <f t="shared" si="5"/>
        <v>Error!</v>
      </c>
      <c r="AH4" s="1">
        <f t="shared" si="27"/>
        <v>10000</v>
      </c>
    </row>
    <row r="5" spans="1:34" x14ac:dyDescent="0.25">
      <c r="A5" s="1">
        <v>1</v>
      </c>
      <c r="B5" s="1"/>
      <c r="C5" s="15">
        <v>42.4</v>
      </c>
      <c r="D5" s="15">
        <f t="shared" si="6"/>
        <v>4.24</v>
      </c>
      <c r="E5" s="13">
        <v>2.6</v>
      </c>
      <c r="F5" s="1" t="s">
        <v>84</v>
      </c>
      <c r="G5" s="13">
        <f t="shared" si="0"/>
        <v>0.26</v>
      </c>
      <c r="H5" s="13">
        <f t="shared" si="7"/>
        <v>16.600000000000001</v>
      </c>
      <c r="I5" s="13">
        <f t="shared" si="8"/>
        <v>89.2</v>
      </c>
      <c r="J5" s="13">
        <f t="shared" si="1"/>
        <v>10000</v>
      </c>
      <c r="K5" s="13">
        <f t="shared" si="2"/>
        <v>10000</v>
      </c>
      <c r="L5" s="13">
        <f>'TW-RBS وسط'!R20*'TW-RBS وسط'!R22*('TW-RBS وسط'!R19-'TW-RBS وسط'!R22)+(0.5*(G5^2)*('TW-RBS وسط'!R19-2*'TW-RBS وسط'!R22)^2)/(J5)</f>
        <v>2862.7302245000001</v>
      </c>
      <c r="M5" s="1">
        <f t="shared" si="9"/>
        <v>0.39079350758384157</v>
      </c>
      <c r="N5" s="1">
        <f t="shared" si="10"/>
        <v>8.4969999999999999</v>
      </c>
      <c r="O5" s="1">
        <f t="shared" si="11"/>
        <v>1127.2333856986334</v>
      </c>
      <c r="P5" s="1">
        <f t="shared" si="12"/>
        <v>1130.355612993425</v>
      </c>
      <c r="Q5" s="1">
        <f t="shared" si="13"/>
        <v>10000</v>
      </c>
      <c r="R5" s="1">
        <f t="shared" si="14"/>
        <v>10000</v>
      </c>
      <c r="S5" s="1">
        <f t="shared" si="15"/>
        <v>0.16115196189024394</v>
      </c>
      <c r="T5" s="1">
        <f t="shared" si="16"/>
        <v>461.3345920406735</v>
      </c>
      <c r="U5" s="1">
        <f t="shared" si="17"/>
        <v>29</v>
      </c>
      <c r="V5" s="1">
        <f t="shared" si="18"/>
        <v>490.3345920406735</v>
      </c>
      <c r="W5" s="1">
        <f t="shared" si="19"/>
        <v>1.1374296435272047</v>
      </c>
      <c r="X5" s="1">
        <f t="shared" si="20"/>
        <v>557.72110023388063</v>
      </c>
      <c r="Y5" s="1">
        <f t="shared" si="21"/>
        <v>844.76444430000004</v>
      </c>
      <c r="Z5" s="1">
        <f t="shared" si="22"/>
        <v>998.95064516548348</v>
      </c>
      <c r="AA5" s="1">
        <f t="shared" si="3"/>
        <v>9989506.4516548347</v>
      </c>
      <c r="AB5" s="1">
        <f t="shared" si="23"/>
        <v>10000</v>
      </c>
      <c r="AC5" s="1">
        <f t="shared" si="24"/>
        <v>10000</v>
      </c>
      <c r="AD5" s="1">
        <f t="shared" si="4"/>
        <v>10000</v>
      </c>
      <c r="AE5" s="1">
        <f t="shared" si="25"/>
        <v>10000</v>
      </c>
      <c r="AF5" s="1">
        <f t="shared" si="26"/>
        <v>10000</v>
      </c>
      <c r="AG5" s="1" t="str">
        <f t="shared" si="5"/>
        <v>Error!</v>
      </c>
      <c r="AH5" s="1">
        <f t="shared" si="27"/>
        <v>10000</v>
      </c>
    </row>
    <row r="6" spans="1:34" x14ac:dyDescent="0.25">
      <c r="A6" s="1">
        <v>0.85</v>
      </c>
      <c r="B6" s="1">
        <f>('TW-RBS وسط'!R6+'TW-RBS وسط'!R7)/(2*'TW-RBS وسط'!R6)</f>
        <v>1.3163265306122449</v>
      </c>
      <c r="C6" s="15">
        <v>42.4</v>
      </c>
      <c r="D6" s="15">
        <f t="shared" si="6"/>
        <v>4.24</v>
      </c>
      <c r="E6" s="13">
        <v>3.2</v>
      </c>
      <c r="F6" s="1" t="s">
        <v>85</v>
      </c>
      <c r="G6" s="13">
        <f t="shared" si="0"/>
        <v>0.32</v>
      </c>
      <c r="H6" s="13">
        <f t="shared" si="7"/>
        <v>16.600000000000001</v>
      </c>
      <c r="I6" s="13">
        <f t="shared" si="8"/>
        <v>89.2</v>
      </c>
      <c r="J6" s="13">
        <f t="shared" si="1"/>
        <v>10000</v>
      </c>
      <c r="K6" s="13">
        <f t="shared" si="2"/>
        <v>10000</v>
      </c>
      <c r="L6" s="13">
        <f>'TW-RBS وسط'!R20*'TW-RBS وسط'!R22*('TW-RBS وسط'!R19-'TW-RBS وسط'!R22)+(0.5*(G6^2)*('TW-RBS وسط'!R19-2*'TW-RBS وسط'!R22)^2)/(J6)</f>
        <v>2862.7354880000003</v>
      </c>
      <c r="M6" s="1">
        <f t="shared" si="9"/>
        <v>0.39079350758384157</v>
      </c>
      <c r="N6" s="1">
        <f t="shared" si="10"/>
        <v>8.4969999999999999</v>
      </c>
      <c r="O6" s="1">
        <f t="shared" si="11"/>
        <v>1127.2354426402605</v>
      </c>
      <c r="P6" s="1">
        <f t="shared" si="12"/>
        <v>1130.355612993425</v>
      </c>
      <c r="Q6" s="1">
        <f t="shared" si="13"/>
        <v>10000</v>
      </c>
      <c r="R6" s="1">
        <f t="shared" si="14"/>
        <v>10000</v>
      </c>
      <c r="S6" s="1">
        <f t="shared" si="15"/>
        <v>0.16115196189024394</v>
      </c>
      <c r="T6" s="1">
        <f t="shared" si="16"/>
        <v>461.33544026402495</v>
      </c>
      <c r="U6" s="1">
        <f t="shared" si="17"/>
        <v>29</v>
      </c>
      <c r="V6" s="1">
        <f t="shared" si="18"/>
        <v>490.33544026402495</v>
      </c>
      <c r="W6" s="1">
        <f t="shared" si="19"/>
        <v>1.1374296435272047</v>
      </c>
      <c r="X6" s="1">
        <f t="shared" si="20"/>
        <v>557.72206502826486</v>
      </c>
      <c r="Y6" s="1">
        <f t="shared" si="21"/>
        <v>844.76444430000004</v>
      </c>
      <c r="Z6" s="1">
        <f t="shared" si="22"/>
        <v>998.95064516548348</v>
      </c>
      <c r="AA6" s="1">
        <f t="shared" si="3"/>
        <v>9989506.4516548347</v>
      </c>
      <c r="AB6" s="1">
        <f t="shared" si="23"/>
        <v>10000</v>
      </c>
      <c r="AC6" s="1">
        <f t="shared" si="24"/>
        <v>10000</v>
      </c>
      <c r="AD6" s="1">
        <f t="shared" si="4"/>
        <v>10000</v>
      </c>
      <c r="AE6" s="1">
        <f t="shared" si="25"/>
        <v>10000</v>
      </c>
      <c r="AF6" s="1">
        <f t="shared" si="26"/>
        <v>10000</v>
      </c>
      <c r="AG6" s="1" t="str">
        <f t="shared" si="5"/>
        <v>Error!</v>
      </c>
      <c r="AH6" s="1">
        <f t="shared" si="27"/>
        <v>10000</v>
      </c>
    </row>
    <row r="7" spans="1:34" x14ac:dyDescent="0.25">
      <c r="A7" s="1">
        <v>0.75</v>
      </c>
      <c r="B7" s="1">
        <v>1.1000000000000001</v>
      </c>
      <c r="C7" s="15">
        <v>42.4</v>
      </c>
      <c r="D7" s="15">
        <f t="shared" si="6"/>
        <v>4.24</v>
      </c>
      <c r="E7" s="13">
        <v>4</v>
      </c>
      <c r="F7" s="1" t="s">
        <v>86</v>
      </c>
      <c r="G7" s="13">
        <f t="shared" si="0"/>
        <v>0.4</v>
      </c>
      <c r="H7" s="13">
        <f t="shared" si="7"/>
        <v>16.600000000000001</v>
      </c>
      <c r="I7" s="13">
        <f t="shared" si="8"/>
        <v>89.2</v>
      </c>
      <c r="J7" s="13">
        <f t="shared" si="1"/>
        <v>10000</v>
      </c>
      <c r="K7" s="13">
        <f t="shared" si="2"/>
        <v>10000</v>
      </c>
      <c r="L7" s="13">
        <f>'TW-RBS وسط'!R20*'TW-RBS وسط'!R22*('TW-RBS وسط'!R19-'TW-RBS وسط'!R22)+(0.5*(G7^2)*('TW-RBS وسط'!R19-2*'TW-RBS وسط'!R22)^2)/(J7)</f>
        <v>2862.7442000000001</v>
      </c>
      <c r="M7" s="1">
        <f t="shared" si="9"/>
        <v>0.39079350758384157</v>
      </c>
      <c r="N7" s="1">
        <f t="shared" si="10"/>
        <v>8.4969999999999999</v>
      </c>
      <c r="O7" s="1">
        <f t="shared" si="11"/>
        <v>1127.2388472332987</v>
      </c>
      <c r="P7" s="1">
        <f t="shared" si="12"/>
        <v>1130.355612993425</v>
      </c>
      <c r="Q7" s="1">
        <f t="shared" si="13"/>
        <v>10000</v>
      </c>
      <c r="R7" s="1">
        <f t="shared" si="14"/>
        <v>10000</v>
      </c>
      <c r="S7" s="1">
        <f t="shared" si="15"/>
        <v>0.16115196189024394</v>
      </c>
      <c r="T7" s="1">
        <f t="shared" si="16"/>
        <v>461.33684421991688</v>
      </c>
      <c r="U7" s="1">
        <f t="shared" si="17"/>
        <v>29</v>
      </c>
      <c r="V7" s="1">
        <f t="shared" si="18"/>
        <v>490.33684421991688</v>
      </c>
      <c r="W7" s="1">
        <f t="shared" si="19"/>
        <v>1.1374296435272047</v>
      </c>
      <c r="X7" s="1">
        <f t="shared" si="20"/>
        <v>557.72366192931452</v>
      </c>
      <c r="Y7" s="1">
        <f t="shared" si="21"/>
        <v>844.76444430000004</v>
      </c>
      <c r="Z7" s="1">
        <f t="shared" si="22"/>
        <v>998.95064516548348</v>
      </c>
      <c r="AA7" s="1">
        <f t="shared" si="3"/>
        <v>9989506.4516548347</v>
      </c>
      <c r="AB7" s="1">
        <f t="shared" si="23"/>
        <v>10000</v>
      </c>
      <c r="AC7" s="1">
        <f t="shared" si="24"/>
        <v>10000</v>
      </c>
      <c r="AD7" s="1">
        <f t="shared" si="4"/>
        <v>10000</v>
      </c>
      <c r="AE7" s="1">
        <f t="shared" si="25"/>
        <v>10000</v>
      </c>
      <c r="AF7" s="1">
        <f t="shared" si="26"/>
        <v>10000</v>
      </c>
      <c r="AG7" s="1" t="str">
        <f t="shared" si="5"/>
        <v>Error!</v>
      </c>
      <c r="AH7" s="1">
        <f t="shared" si="27"/>
        <v>10000</v>
      </c>
    </row>
    <row r="8" spans="1:34" x14ac:dyDescent="0.25">
      <c r="A8" s="1"/>
      <c r="B8" s="1">
        <v>1.3</v>
      </c>
      <c r="C8" s="15">
        <v>48.3</v>
      </c>
      <c r="D8" s="15">
        <f t="shared" si="6"/>
        <v>4.83</v>
      </c>
      <c r="E8" s="13">
        <v>2.6</v>
      </c>
      <c r="F8" s="1" t="s">
        <v>87</v>
      </c>
      <c r="G8" s="13">
        <f t="shared" si="0"/>
        <v>0.26</v>
      </c>
      <c r="H8" s="13">
        <f t="shared" si="7"/>
        <v>16.600000000000001</v>
      </c>
      <c r="I8" s="13">
        <f t="shared" si="8"/>
        <v>89.2</v>
      </c>
      <c r="J8" s="13">
        <f t="shared" si="1"/>
        <v>10000</v>
      </c>
      <c r="K8" s="13">
        <f t="shared" si="2"/>
        <v>10000</v>
      </c>
      <c r="L8" s="13">
        <f>'TW-RBS وسط'!R20*'TW-RBS وسط'!R22*('TW-RBS وسط'!R19-'TW-RBS وسط'!R22)+(0.5*(G8^2)*('TW-RBS وسط'!R19-2*'TW-RBS وسط'!R22)^2)/(J8)</f>
        <v>2862.7302245000001</v>
      </c>
      <c r="M8" s="1">
        <f t="shared" si="9"/>
        <v>0.39079350758384157</v>
      </c>
      <c r="N8" s="1">
        <f t="shared" si="10"/>
        <v>8.4969999999999999</v>
      </c>
      <c r="O8" s="1">
        <f t="shared" si="11"/>
        <v>1127.2333856986334</v>
      </c>
      <c r="P8" s="1">
        <f t="shared" si="12"/>
        <v>1130.355612993425</v>
      </c>
      <c r="Q8" s="1">
        <f t="shared" si="13"/>
        <v>10000</v>
      </c>
      <c r="R8" s="1">
        <f t="shared" si="14"/>
        <v>10000</v>
      </c>
      <c r="S8" s="1">
        <f t="shared" si="15"/>
        <v>0.16115196189024394</v>
      </c>
      <c r="T8" s="1">
        <f t="shared" si="16"/>
        <v>461.3345920406735</v>
      </c>
      <c r="U8" s="1">
        <f t="shared" si="17"/>
        <v>29</v>
      </c>
      <c r="V8" s="1">
        <f t="shared" si="18"/>
        <v>490.3345920406735</v>
      </c>
      <c r="W8" s="1">
        <f t="shared" si="19"/>
        <v>1.1374296435272047</v>
      </c>
      <c r="X8" s="1">
        <f t="shared" si="20"/>
        <v>557.72110023388063</v>
      </c>
      <c r="Y8" s="1">
        <f t="shared" si="21"/>
        <v>844.76444430000004</v>
      </c>
      <c r="Z8" s="1">
        <f t="shared" si="22"/>
        <v>998.95064516548348</v>
      </c>
      <c r="AA8" s="1">
        <f t="shared" si="3"/>
        <v>9989506.4516548347</v>
      </c>
      <c r="AB8" s="1">
        <f t="shared" si="23"/>
        <v>10000</v>
      </c>
      <c r="AC8" s="1">
        <f t="shared" si="24"/>
        <v>10000</v>
      </c>
      <c r="AD8" s="1">
        <f t="shared" si="4"/>
        <v>10000</v>
      </c>
      <c r="AE8" s="1">
        <f t="shared" si="25"/>
        <v>10000</v>
      </c>
      <c r="AF8" s="1">
        <f t="shared" si="26"/>
        <v>10000</v>
      </c>
      <c r="AG8" s="1" t="str">
        <f t="shared" si="5"/>
        <v>Error!</v>
      </c>
      <c r="AH8" s="1">
        <f t="shared" si="27"/>
        <v>10000</v>
      </c>
    </row>
    <row r="9" spans="1:34" x14ac:dyDescent="0.25">
      <c r="A9" s="1"/>
      <c r="B9" s="1"/>
      <c r="C9" s="15">
        <v>48.3</v>
      </c>
      <c r="D9" s="15">
        <f t="shared" si="6"/>
        <v>4.83</v>
      </c>
      <c r="E9" s="13">
        <v>3.2</v>
      </c>
      <c r="F9" s="1" t="s">
        <v>88</v>
      </c>
      <c r="G9" s="13">
        <f t="shared" si="0"/>
        <v>0.32</v>
      </c>
      <c r="H9" s="13">
        <f t="shared" si="7"/>
        <v>16.600000000000001</v>
      </c>
      <c r="I9" s="13">
        <f t="shared" si="8"/>
        <v>89.2</v>
      </c>
      <c r="J9" s="13">
        <f t="shared" si="1"/>
        <v>10000</v>
      </c>
      <c r="K9" s="13">
        <f t="shared" si="2"/>
        <v>10000</v>
      </c>
      <c r="L9" s="13">
        <f>'TW-RBS وسط'!R20*'TW-RBS وسط'!R22*('TW-RBS وسط'!R19-'TW-RBS وسط'!R22)+(0.5*(G9^2)*('TW-RBS وسط'!R19-2*'TW-RBS وسط'!R22)^2)/(J9)</f>
        <v>2862.7354880000003</v>
      </c>
      <c r="M9" s="1">
        <f t="shared" si="9"/>
        <v>0.39079350758384157</v>
      </c>
      <c r="N9" s="1">
        <f t="shared" si="10"/>
        <v>8.4969999999999999</v>
      </c>
      <c r="O9" s="1">
        <f t="shared" si="11"/>
        <v>1127.2354426402605</v>
      </c>
      <c r="P9" s="1">
        <f t="shared" si="12"/>
        <v>1130.355612993425</v>
      </c>
      <c r="Q9" s="1">
        <f t="shared" si="13"/>
        <v>10000</v>
      </c>
      <c r="R9" s="1">
        <f t="shared" si="14"/>
        <v>10000</v>
      </c>
      <c r="S9" s="1">
        <f t="shared" si="15"/>
        <v>0.16115196189024394</v>
      </c>
      <c r="T9" s="1">
        <f t="shared" si="16"/>
        <v>461.33544026402495</v>
      </c>
      <c r="U9" s="1">
        <f t="shared" si="17"/>
        <v>29</v>
      </c>
      <c r="V9" s="1">
        <f t="shared" si="18"/>
        <v>490.33544026402495</v>
      </c>
      <c r="W9" s="1">
        <f t="shared" si="19"/>
        <v>1.1374296435272047</v>
      </c>
      <c r="X9" s="1">
        <f t="shared" si="20"/>
        <v>557.72206502826486</v>
      </c>
      <c r="Y9" s="1">
        <f t="shared" si="21"/>
        <v>844.76444430000004</v>
      </c>
      <c r="Z9" s="1">
        <f t="shared" si="22"/>
        <v>998.95064516548348</v>
      </c>
      <c r="AA9" s="1">
        <f t="shared" si="3"/>
        <v>9989506.4516548347</v>
      </c>
      <c r="AB9" s="1">
        <f t="shared" si="23"/>
        <v>10000</v>
      </c>
      <c r="AC9" s="1">
        <f t="shared" si="24"/>
        <v>10000</v>
      </c>
      <c r="AD9" s="1">
        <f t="shared" si="4"/>
        <v>10000</v>
      </c>
      <c r="AE9" s="1">
        <f t="shared" si="25"/>
        <v>10000</v>
      </c>
      <c r="AF9" s="1">
        <f t="shared" si="26"/>
        <v>10000</v>
      </c>
      <c r="AG9" s="1" t="str">
        <f t="shared" si="5"/>
        <v>Error!</v>
      </c>
      <c r="AH9" s="1">
        <f t="shared" si="27"/>
        <v>10000</v>
      </c>
    </row>
    <row r="10" spans="1:34" x14ac:dyDescent="0.25">
      <c r="A10" s="1"/>
      <c r="B10" s="1"/>
      <c r="C10" s="15">
        <v>48.3</v>
      </c>
      <c r="D10" s="15">
        <f t="shared" si="6"/>
        <v>4.83</v>
      </c>
      <c r="E10" s="13">
        <v>4</v>
      </c>
      <c r="F10" s="1" t="s">
        <v>89</v>
      </c>
      <c r="G10" s="13">
        <f t="shared" si="0"/>
        <v>0.4</v>
      </c>
      <c r="H10" s="13">
        <f t="shared" si="7"/>
        <v>16.600000000000001</v>
      </c>
      <c r="I10" s="13">
        <f t="shared" si="8"/>
        <v>89.2</v>
      </c>
      <c r="J10" s="13">
        <f t="shared" si="1"/>
        <v>10000</v>
      </c>
      <c r="K10" s="13">
        <f t="shared" si="2"/>
        <v>10000</v>
      </c>
      <c r="L10" s="13">
        <f>'TW-RBS وسط'!R20*'TW-RBS وسط'!R22*('TW-RBS وسط'!R19-'TW-RBS وسط'!R22)+(0.5*(G10^2)*('TW-RBS وسط'!R19-2*'TW-RBS وسط'!R22)^2)/(J10)</f>
        <v>2862.7442000000001</v>
      </c>
      <c r="M10" s="1">
        <f t="shared" si="9"/>
        <v>0.39079350758384157</v>
      </c>
      <c r="N10" s="1">
        <f t="shared" si="10"/>
        <v>8.4969999999999999</v>
      </c>
      <c r="O10" s="1">
        <f t="shared" si="11"/>
        <v>1127.2388472332987</v>
      </c>
      <c r="P10" s="1">
        <f t="shared" si="12"/>
        <v>1130.355612993425</v>
      </c>
      <c r="Q10" s="1">
        <f t="shared" si="13"/>
        <v>10000</v>
      </c>
      <c r="R10" s="1">
        <f t="shared" si="14"/>
        <v>10000</v>
      </c>
      <c r="S10" s="1">
        <f t="shared" si="15"/>
        <v>0.16115196189024394</v>
      </c>
      <c r="T10" s="1">
        <f t="shared" si="16"/>
        <v>461.33684421991688</v>
      </c>
      <c r="U10" s="1">
        <f t="shared" si="17"/>
        <v>29</v>
      </c>
      <c r="V10" s="1">
        <f t="shared" si="18"/>
        <v>490.33684421991688</v>
      </c>
      <c r="W10" s="1">
        <f t="shared" si="19"/>
        <v>1.1374296435272047</v>
      </c>
      <c r="X10" s="1">
        <f t="shared" si="20"/>
        <v>557.72366192931452</v>
      </c>
      <c r="Y10" s="1">
        <f t="shared" si="21"/>
        <v>844.76444430000004</v>
      </c>
      <c r="Z10" s="1">
        <f t="shared" si="22"/>
        <v>998.95064516548348</v>
      </c>
      <c r="AA10" s="1">
        <f t="shared" si="3"/>
        <v>9989506.4516548347</v>
      </c>
      <c r="AB10" s="1">
        <f t="shared" si="23"/>
        <v>10000</v>
      </c>
      <c r="AC10" s="1">
        <f t="shared" si="24"/>
        <v>10000</v>
      </c>
      <c r="AD10" s="1">
        <f t="shared" si="4"/>
        <v>10000</v>
      </c>
      <c r="AE10" s="1">
        <f t="shared" si="25"/>
        <v>10000</v>
      </c>
      <c r="AF10" s="1">
        <f t="shared" si="26"/>
        <v>10000</v>
      </c>
      <c r="AG10" s="1" t="str">
        <f t="shared" si="5"/>
        <v>Error!</v>
      </c>
      <c r="AH10" s="1">
        <f t="shared" si="27"/>
        <v>10000</v>
      </c>
    </row>
    <row r="11" spans="1:34" x14ac:dyDescent="0.25">
      <c r="A11" s="1"/>
      <c r="B11" s="1"/>
      <c r="C11" s="15">
        <v>60.3</v>
      </c>
      <c r="D11" s="15">
        <f t="shared" si="6"/>
        <v>6.0299999999999994</v>
      </c>
      <c r="E11" s="13">
        <v>3.2</v>
      </c>
      <c r="F11" s="1" t="s">
        <v>90</v>
      </c>
      <c r="G11" s="13">
        <f t="shared" si="0"/>
        <v>0.32</v>
      </c>
      <c r="H11" s="13">
        <f t="shared" si="7"/>
        <v>16.600000000000001</v>
      </c>
      <c r="I11" s="13">
        <f t="shared" si="8"/>
        <v>89.2</v>
      </c>
      <c r="J11" s="13">
        <f t="shared" si="1"/>
        <v>10000</v>
      </c>
      <c r="K11" s="13">
        <f t="shared" si="2"/>
        <v>10000</v>
      </c>
      <c r="L11" s="13">
        <f>'TW-RBS وسط'!R20*'TW-RBS وسط'!R22*('TW-RBS وسط'!R19-'TW-RBS وسط'!R22)+(0.5*(G11^2)*('TW-RBS وسط'!R19-2*'TW-RBS وسط'!R22)^2)/(J11)</f>
        <v>2862.7354880000003</v>
      </c>
      <c r="M11" s="1">
        <f t="shared" si="9"/>
        <v>0.39079350758384157</v>
      </c>
      <c r="N11" s="1">
        <f t="shared" si="10"/>
        <v>8.4969999999999999</v>
      </c>
      <c r="O11" s="1">
        <f t="shared" si="11"/>
        <v>1127.2354426402605</v>
      </c>
      <c r="P11" s="1">
        <f t="shared" si="12"/>
        <v>1130.355612993425</v>
      </c>
      <c r="Q11" s="1">
        <f t="shared" si="13"/>
        <v>10000</v>
      </c>
      <c r="R11" s="1">
        <f t="shared" si="14"/>
        <v>10000</v>
      </c>
      <c r="S11" s="1">
        <f t="shared" si="15"/>
        <v>0.16115196189024394</v>
      </c>
      <c r="T11" s="1">
        <f t="shared" si="16"/>
        <v>461.33544026402495</v>
      </c>
      <c r="U11" s="1">
        <f t="shared" si="17"/>
        <v>29</v>
      </c>
      <c r="V11" s="1">
        <f t="shared" si="18"/>
        <v>490.33544026402495</v>
      </c>
      <c r="W11" s="1">
        <f t="shared" si="19"/>
        <v>1.1374296435272047</v>
      </c>
      <c r="X11" s="1">
        <f t="shared" si="20"/>
        <v>557.72206502826486</v>
      </c>
      <c r="Y11" s="1">
        <f t="shared" si="21"/>
        <v>844.76444430000004</v>
      </c>
      <c r="Z11" s="1">
        <f t="shared" si="22"/>
        <v>998.95064516548348</v>
      </c>
      <c r="AA11" s="1">
        <f t="shared" si="3"/>
        <v>9989506.4516548347</v>
      </c>
      <c r="AB11" s="1">
        <f t="shared" si="23"/>
        <v>10000</v>
      </c>
      <c r="AC11" s="1">
        <f t="shared" si="24"/>
        <v>10000</v>
      </c>
      <c r="AD11" s="1">
        <f t="shared" si="4"/>
        <v>10000</v>
      </c>
      <c r="AE11" s="1">
        <f t="shared" si="25"/>
        <v>10000</v>
      </c>
      <c r="AF11" s="1">
        <f t="shared" si="26"/>
        <v>10000</v>
      </c>
      <c r="AG11" s="1" t="str">
        <f t="shared" si="5"/>
        <v>Error!</v>
      </c>
      <c r="AH11" s="1">
        <f t="shared" si="27"/>
        <v>10000</v>
      </c>
    </row>
    <row r="12" spans="1:34" x14ac:dyDescent="0.25">
      <c r="A12" s="1"/>
      <c r="B12" s="1"/>
      <c r="C12" s="15">
        <v>60.3</v>
      </c>
      <c r="D12" s="15">
        <f t="shared" si="6"/>
        <v>6.0299999999999994</v>
      </c>
      <c r="E12" s="13">
        <v>4</v>
      </c>
      <c r="F12" s="1" t="s">
        <v>91</v>
      </c>
      <c r="G12" s="13">
        <f t="shared" si="0"/>
        <v>0.4</v>
      </c>
      <c r="H12" s="13">
        <f t="shared" si="7"/>
        <v>16.600000000000001</v>
      </c>
      <c r="I12" s="13">
        <f t="shared" si="8"/>
        <v>89.2</v>
      </c>
      <c r="J12" s="13">
        <f t="shared" si="1"/>
        <v>10000</v>
      </c>
      <c r="K12" s="13">
        <f t="shared" si="2"/>
        <v>10000</v>
      </c>
      <c r="L12" s="13">
        <f>'TW-RBS وسط'!R20*'TW-RBS وسط'!R22*('TW-RBS وسط'!R19-'TW-RBS وسط'!R22)+(0.5*(G12^2)*('TW-RBS وسط'!R19-2*'TW-RBS وسط'!R22)^2)/(J12)</f>
        <v>2862.7442000000001</v>
      </c>
      <c r="M12" s="1">
        <f t="shared" si="9"/>
        <v>0.39079350758384157</v>
      </c>
      <c r="N12" s="1">
        <f t="shared" si="10"/>
        <v>8.4969999999999999</v>
      </c>
      <c r="O12" s="1">
        <f t="shared" si="11"/>
        <v>1127.2388472332987</v>
      </c>
      <c r="P12" s="1">
        <f t="shared" si="12"/>
        <v>1130.355612993425</v>
      </c>
      <c r="Q12" s="1">
        <f t="shared" si="13"/>
        <v>10000</v>
      </c>
      <c r="R12" s="1">
        <f t="shared" si="14"/>
        <v>10000</v>
      </c>
      <c r="S12" s="1">
        <f t="shared" si="15"/>
        <v>0.16115196189024394</v>
      </c>
      <c r="T12" s="1">
        <f t="shared" si="16"/>
        <v>461.33684421991688</v>
      </c>
      <c r="U12" s="1">
        <f t="shared" si="17"/>
        <v>29</v>
      </c>
      <c r="V12" s="1">
        <f t="shared" si="18"/>
        <v>490.33684421991688</v>
      </c>
      <c r="W12" s="1">
        <f t="shared" si="19"/>
        <v>1.1374296435272047</v>
      </c>
      <c r="X12" s="1">
        <f t="shared" si="20"/>
        <v>557.72366192931452</v>
      </c>
      <c r="Y12" s="1">
        <f t="shared" si="21"/>
        <v>844.76444430000004</v>
      </c>
      <c r="Z12" s="1">
        <f t="shared" si="22"/>
        <v>998.95064516548348</v>
      </c>
      <c r="AA12" s="1">
        <f t="shared" si="3"/>
        <v>9989506.4516548347</v>
      </c>
      <c r="AB12" s="1">
        <f t="shared" si="23"/>
        <v>10000</v>
      </c>
      <c r="AC12" s="1">
        <f t="shared" si="24"/>
        <v>10000</v>
      </c>
      <c r="AD12" s="1">
        <f t="shared" si="4"/>
        <v>10000</v>
      </c>
      <c r="AE12" s="1">
        <f t="shared" si="25"/>
        <v>10000</v>
      </c>
      <c r="AF12" s="1">
        <f t="shared" si="26"/>
        <v>10000</v>
      </c>
      <c r="AG12" s="1" t="str">
        <f t="shared" si="5"/>
        <v>Error!</v>
      </c>
      <c r="AH12" s="1">
        <f t="shared" si="27"/>
        <v>10000</v>
      </c>
    </row>
    <row r="13" spans="1:34" x14ac:dyDescent="0.25">
      <c r="A13" s="1"/>
      <c r="B13" s="1"/>
      <c r="C13" s="15">
        <v>60.3</v>
      </c>
      <c r="D13" s="15">
        <f t="shared" si="6"/>
        <v>6.0299999999999994</v>
      </c>
      <c r="E13" s="13">
        <v>5</v>
      </c>
      <c r="F13" s="1" t="s">
        <v>92</v>
      </c>
      <c r="G13" s="13">
        <f t="shared" si="0"/>
        <v>0.5</v>
      </c>
      <c r="H13" s="13">
        <f t="shared" si="7"/>
        <v>16.600000000000001</v>
      </c>
      <c r="I13" s="13">
        <f t="shared" si="8"/>
        <v>89.2</v>
      </c>
      <c r="J13" s="13">
        <f t="shared" si="1"/>
        <v>10000</v>
      </c>
      <c r="K13" s="13">
        <f t="shared" si="2"/>
        <v>10000</v>
      </c>
      <c r="L13" s="13">
        <f>'TW-RBS وسط'!R20*'TW-RBS وسط'!R22*('TW-RBS وسط'!R19-'TW-RBS وسط'!R22)+(0.5*(G13^2)*('TW-RBS وسط'!R19-2*'TW-RBS وسط'!R22)^2)/(J13)</f>
        <v>2862.7578125000005</v>
      </c>
      <c r="M13" s="1">
        <f t="shared" si="9"/>
        <v>0.39079350758384157</v>
      </c>
      <c r="N13" s="1">
        <f t="shared" si="10"/>
        <v>8.4969999999999999</v>
      </c>
      <c r="O13" s="1">
        <f t="shared" si="11"/>
        <v>1127.2441669099208</v>
      </c>
      <c r="P13" s="1">
        <f t="shared" si="12"/>
        <v>1130.355612993425</v>
      </c>
      <c r="Q13" s="1">
        <f t="shared" si="13"/>
        <v>10000</v>
      </c>
      <c r="R13" s="1">
        <f t="shared" si="14"/>
        <v>10000</v>
      </c>
      <c r="S13" s="1">
        <f t="shared" si="15"/>
        <v>0.16115196189024394</v>
      </c>
      <c r="T13" s="1">
        <f t="shared" si="16"/>
        <v>461.33903790099816</v>
      </c>
      <c r="U13" s="1">
        <f t="shared" si="17"/>
        <v>29</v>
      </c>
      <c r="V13" s="1">
        <f t="shared" si="18"/>
        <v>490.33903790099816</v>
      </c>
      <c r="W13" s="1">
        <f t="shared" si="19"/>
        <v>1.1374296435272047</v>
      </c>
      <c r="X13" s="1">
        <f t="shared" si="20"/>
        <v>557.7261570872048</v>
      </c>
      <c r="Y13" s="1">
        <f t="shared" si="21"/>
        <v>844.76444430000004</v>
      </c>
      <c r="Z13" s="1">
        <f t="shared" si="22"/>
        <v>998.95064516548348</v>
      </c>
      <c r="AA13" s="1">
        <f t="shared" si="3"/>
        <v>9989506.4516548347</v>
      </c>
      <c r="AB13" s="1">
        <f t="shared" si="23"/>
        <v>10000</v>
      </c>
      <c r="AC13" s="1">
        <f t="shared" si="24"/>
        <v>10000</v>
      </c>
      <c r="AD13" s="1">
        <f t="shared" si="4"/>
        <v>10000</v>
      </c>
      <c r="AE13" s="1">
        <f t="shared" si="25"/>
        <v>10000</v>
      </c>
      <c r="AF13" s="1">
        <f t="shared" si="26"/>
        <v>10000</v>
      </c>
      <c r="AG13" s="1" t="str">
        <f t="shared" si="5"/>
        <v>Error!</v>
      </c>
      <c r="AH13" s="1">
        <f t="shared" si="27"/>
        <v>10000</v>
      </c>
    </row>
    <row r="14" spans="1:34" x14ac:dyDescent="0.25">
      <c r="A14" s="1"/>
      <c r="B14" s="1"/>
      <c r="C14" s="15">
        <v>76.099999999999994</v>
      </c>
      <c r="D14" s="15">
        <f t="shared" si="6"/>
        <v>7.6099999999999994</v>
      </c>
      <c r="E14" s="13">
        <v>3.2</v>
      </c>
      <c r="F14" s="1" t="s">
        <v>93</v>
      </c>
      <c r="G14" s="13">
        <f t="shared" si="0"/>
        <v>0.32</v>
      </c>
      <c r="H14" s="13">
        <f t="shared" si="7"/>
        <v>16.600000000000001</v>
      </c>
      <c r="I14" s="13">
        <f t="shared" si="8"/>
        <v>89.2</v>
      </c>
      <c r="J14" s="13">
        <f t="shared" si="1"/>
        <v>10000</v>
      </c>
      <c r="K14" s="13">
        <f t="shared" si="2"/>
        <v>10000</v>
      </c>
      <c r="L14" s="13">
        <f>'TW-RBS وسط'!R20*'TW-RBS وسط'!R22*('TW-RBS وسط'!R19-'TW-RBS وسط'!R22)+(0.5*(G14^2)*('TW-RBS وسط'!R19-2*'TW-RBS وسط'!R22)^2)/(J14)</f>
        <v>2862.7354880000003</v>
      </c>
      <c r="M14" s="1">
        <f t="shared" si="9"/>
        <v>0.39079350758384157</v>
      </c>
      <c r="N14" s="1">
        <f t="shared" si="10"/>
        <v>8.4969999999999999</v>
      </c>
      <c r="O14" s="1">
        <f t="shared" si="11"/>
        <v>1127.2354426402605</v>
      </c>
      <c r="P14" s="1">
        <f t="shared" si="12"/>
        <v>1130.355612993425</v>
      </c>
      <c r="Q14" s="1">
        <f t="shared" si="13"/>
        <v>10000</v>
      </c>
      <c r="R14" s="1">
        <f t="shared" si="14"/>
        <v>10000</v>
      </c>
      <c r="S14" s="1">
        <f t="shared" si="15"/>
        <v>0.16115196189024394</v>
      </c>
      <c r="T14" s="1">
        <f t="shared" si="16"/>
        <v>461.33544026402495</v>
      </c>
      <c r="U14" s="1">
        <f t="shared" si="17"/>
        <v>29</v>
      </c>
      <c r="V14" s="1">
        <f t="shared" si="18"/>
        <v>490.33544026402495</v>
      </c>
      <c r="W14" s="1">
        <f t="shared" si="19"/>
        <v>1.1374296435272047</v>
      </c>
      <c r="X14" s="1">
        <f t="shared" si="20"/>
        <v>557.72206502826486</v>
      </c>
      <c r="Y14" s="1">
        <f t="shared" si="21"/>
        <v>844.76444430000004</v>
      </c>
      <c r="Z14" s="1">
        <f t="shared" si="22"/>
        <v>998.95064516548348</v>
      </c>
      <c r="AA14" s="1">
        <f t="shared" si="3"/>
        <v>9989506.4516548347</v>
      </c>
      <c r="AB14" s="1">
        <f t="shared" si="23"/>
        <v>10000</v>
      </c>
      <c r="AC14" s="1">
        <f t="shared" si="24"/>
        <v>10000</v>
      </c>
      <c r="AD14" s="1">
        <f t="shared" si="4"/>
        <v>10000</v>
      </c>
      <c r="AE14" s="1">
        <f t="shared" si="25"/>
        <v>10000</v>
      </c>
      <c r="AF14" s="1">
        <f t="shared" si="26"/>
        <v>10000</v>
      </c>
      <c r="AG14" s="1" t="str">
        <f t="shared" si="5"/>
        <v>Error!</v>
      </c>
      <c r="AH14" s="1">
        <f t="shared" si="27"/>
        <v>10000</v>
      </c>
    </row>
    <row r="15" spans="1:34" x14ac:dyDescent="0.25">
      <c r="A15" s="1"/>
      <c r="B15" s="1"/>
      <c r="C15" s="15">
        <v>76.099999999999994</v>
      </c>
      <c r="D15" s="15">
        <f t="shared" si="6"/>
        <v>7.6099999999999994</v>
      </c>
      <c r="E15" s="13">
        <v>4</v>
      </c>
      <c r="F15" s="1" t="s">
        <v>94</v>
      </c>
      <c r="G15" s="13">
        <f t="shared" si="0"/>
        <v>0.4</v>
      </c>
      <c r="H15" s="13">
        <f t="shared" si="7"/>
        <v>16.600000000000001</v>
      </c>
      <c r="I15" s="13">
        <f t="shared" si="8"/>
        <v>89.2</v>
      </c>
      <c r="J15" s="13">
        <f t="shared" si="1"/>
        <v>10000</v>
      </c>
      <c r="K15" s="13">
        <f t="shared" si="2"/>
        <v>10000</v>
      </c>
      <c r="L15" s="13">
        <f>'TW-RBS وسط'!R20*'TW-RBS وسط'!R22*('TW-RBS وسط'!R19-'TW-RBS وسط'!R22)+(0.5*(G15^2)*('TW-RBS وسط'!R19-2*'TW-RBS وسط'!R22)^2)/(J15)</f>
        <v>2862.7442000000001</v>
      </c>
      <c r="M15" s="1">
        <f t="shared" si="9"/>
        <v>0.39079350758384157</v>
      </c>
      <c r="N15" s="1">
        <f t="shared" si="10"/>
        <v>8.4969999999999999</v>
      </c>
      <c r="O15" s="1">
        <f t="shared" si="11"/>
        <v>1127.2388472332987</v>
      </c>
      <c r="P15" s="1">
        <f t="shared" si="12"/>
        <v>1130.355612993425</v>
      </c>
      <c r="Q15" s="1">
        <f t="shared" si="13"/>
        <v>10000</v>
      </c>
      <c r="R15" s="1">
        <f t="shared" si="14"/>
        <v>10000</v>
      </c>
      <c r="S15" s="1">
        <f t="shared" si="15"/>
        <v>0.16115196189024394</v>
      </c>
      <c r="T15" s="1">
        <f t="shared" si="16"/>
        <v>461.33684421991688</v>
      </c>
      <c r="U15" s="1">
        <f t="shared" si="17"/>
        <v>29</v>
      </c>
      <c r="V15" s="1">
        <f t="shared" si="18"/>
        <v>490.33684421991688</v>
      </c>
      <c r="W15" s="1">
        <f t="shared" si="19"/>
        <v>1.1374296435272047</v>
      </c>
      <c r="X15" s="1">
        <f t="shared" si="20"/>
        <v>557.72366192931452</v>
      </c>
      <c r="Y15" s="1">
        <f t="shared" si="21"/>
        <v>844.76444430000004</v>
      </c>
      <c r="Z15" s="1">
        <f t="shared" si="22"/>
        <v>998.95064516548348</v>
      </c>
      <c r="AA15" s="1">
        <f t="shared" si="3"/>
        <v>9989506.4516548347</v>
      </c>
      <c r="AB15" s="1">
        <f t="shared" si="23"/>
        <v>10000</v>
      </c>
      <c r="AC15" s="1">
        <f t="shared" si="24"/>
        <v>10000</v>
      </c>
      <c r="AD15" s="1">
        <f t="shared" si="4"/>
        <v>10000</v>
      </c>
      <c r="AE15" s="1">
        <f t="shared" si="25"/>
        <v>10000</v>
      </c>
      <c r="AF15" s="1">
        <f t="shared" si="26"/>
        <v>10000</v>
      </c>
      <c r="AG15" s="1" t="str">
        <f t="shared" si="5"/>
        <v>Error!</v>
      </c>
      <c r="AH15" s="1">
        <f t="shared" si="27"/>
        <v>10000</v>
      </c>
    </row>
    <row r="16" spans="1:34" x14ac:dyDescent="0.25">
      <c r="A16" s="1"/>
      <c r="B16" s="1"/>
      <c r="C16" s="15">
        <v>76.099999999999994</v>
      </c>
      <c r="D16" s="15">
        <f t="shared" si="6"/>
        <v>7.6099999999999994</v>
      </c>
      <c r="E16" s="13">
        <v>5</v>
      </c>
      <c r="F16" s="1" t="s">
        <v>95</v>
      </c>
      <c r="G16" s="13">
        <f t="shared" si="0"/>
        <v>0.5</v>
      </c>
      <c r="H16" s="13">
        <f t="shared" si="7"/>
        <v>16.600000000000001</v>
      </c>
      <c r="I16" s="13">
        <f t="shared" si="8"/>
        <v>89.2</v>
      </c>
      <c r="J16" s="13">
        <f t="shared" si="1"/>
        <v>10000</v>
      </c>
      <c r="K16" s="13">
        <f t="shared" si="2"/>
        <v>10000</v>
      </c>
      <c r="L16" s="13">
        <f>'TW-RBS وسط'!R20*'TW-RBS وسط'!R22*('TW-RBS وسط'!R19-'TW-RBS وسط'!R22)+(0.5*(G16^2)*('TW-RBS وسط'!R19-2*'TW-RBS وسط'!R22)^2)/(J16)</f>
        <v>2862.7578125000005</v>
      </c>
      <c r="M16" s="1">
        <f t="shared" si="9"/>
        <v>0.39079350758384157</v>
      </c>
      <c r="N16" s="1">
        <f t="shared" si="10"/>
        <v>8.4969999999999999</v>
      </c>
      <c r="O16" s="1">
        <f t="shared" si="11"/>
        <v>1127.2441669099208</v>
      </c>
      <c r="P16" s="1">
        <f t="shared" si="12"/>
        <v>1130.355612993425</v>
      </c>
      <c r="Q16" s="1">
        <f t="shared" si="13"/>
        <v>10000</v>
      </c>
      <c r="R16" s="1">
        <f t="shared" si="14"/>
        <v>10000</v>
      </c>
      <c r="S16" s="1">
        <f t="shared" si="15"/>
        <v>0.16115196189024394</v>
      </c>
      <c r="T16" s="1">
        <f t="shared" si="16"/>
        <v>461.33903790099816</v>
      </c>
      <c r="U16" s="1">
        <f t="shared" si="17"/>
        <v>29</v>
      </c>
      <c r="V16" s="1">
        <f t="shared" si="18"/>
        <v>490.33903790099816</v>
      </c>
      <c r="W16" s="1">
        <f t="shared" si="19"/>
        <v>1.1374296435272047</v>
      </c>
      <c r="X16" s="1">
        <f t="shared" si="20"/>
        <v>557.7261570872048</v>
      </c>
      <c r="Y16" s="1">
        <f t="shared" si="21"/>
        <v>844.76444430000004</v>
      </c>
      <c r="Z16" s="1">
        <f t="shared" si="22"/>
        <v>998.95064516548348</v>
      </c>
      <c r="AA16" s="1">
        <f t="shared" si="3"/>
        <v>9989506.4516548347</v>
      </c>
      <c r="AB16" s="1">
        <f t="shared" si="23"/>
        <v>10000</v>
      </c>
      <c r="AC16" s="1">
        <f t="shared" si="24"/>
        <v>10000</v>
      </c>
      <c r="AD16" s="1">
        <f t="shared" si="4"/>
        <v>10000</v>
      </c>
      <c r="AE16" s="1">
        <f t="shared" si="25"/>
        <v>10000</v>
      </c>
      <c r="AF16" s="1">
        <f t="shared" si="26"/>
        <v>10000</v>
      </c>
      <c r="AG16" s="1" t="str">
        <f t="shared" si="5"/>
        <v>Error!</v>
      </c>
      <c r="AH16" s="1">
        <f t="shared" si="27"/>
        <v>10000</v>
      </c>
    </row>
    <row r="17" spans="1:34" x14ac:dyDescent="0.25">
      <c r="A17" s="1"/>
      <c r="B17" s="1"/>
      <c r="C17" s="15">
        <v>88.9</v>
      </c>
      <c r="D17" s="15">
        <f t="shared" si="6"/>
        <v>8.89</v>
      </c>
      <c r="E17" s="13">
        <v>3.2</v>
      </c>
      <c r="F17" s="1" t="s">
        <v>96</v>
      </c>
      <c r="G17" s="13">
        <f t="shared" si="0"/>
        <v>0.32</v>
      </c>
      <c r="H17" s="13">
        <f t="shared" si="7"/>
        <v>16.600000000000001</v>
      </c>
      <c r="I17" s="13">
        <f t="shared" si="8"/>
        <v>89.2</v>
      </c>
      <c r="J17" s="13">
        <f t="shared" si="1"/>
        <v>10000</v>
      </c>
      <c r="K17" s="13">
        <f t="shared" si="2"/>
        <v>10000</v>
      </c>
      <c r="L17" s="13">
        <f>'TW-RBS وسط'!R20*'TW-RBS وسط'!R22*('TW-RBS وسط'!R19-'TW-RBS وسط'!R22)+(0.5*(G17^2)*('TW-RBS وسط'!R19-2*'TW-RBS وسط'!R22)^2)/(J17)</f>
        <v>2862.7354880000003</v>
      </c>
      <c r="M17" s="1">
        <f t="shared" si="9"/>
        <v>0.39079350758384157</v>
      </c>
      <c r="N17" s="1">
        <f t="shared" si="10"/>
        <v>8.4969999999999999</v>
      </c>
      <c r="O17" s="1">
        <f t="shared" si="11"/>
        <v>1127.2354426402605</v>
      </c>
      <c r="P17" s="1">
        <f t="shared" si="12"/>
        <v>1130.355612993425</v>
      </c>
      <c r="Q17" s="1">
        <f t="shared" si="13"/>
        <v>10000</v>
      </c>
      <c r="R17" s="1">
        <f t="shared" si="14"/>
        <v>10000</v>
      </c>
      <c r="S17" s="1">
        <f t="shared" si="15"/>
        <v>0.16115196189024394</v>
      </c>
      <c r="T17" s="1">
        <f t="shared" si="16"/>
        <v>461.33544026402495</v>
      </c>
      <c r="U17" s="1">
        <f t="shared" si="17"/>
        <v>29</v>
      </c>
      <c r="V17" s="1">
        <f t="shared" si="18"/>
        <v>490.33544026402495</v>
      </c>
      <c r="W17" s="1">
        <f t="shared" si="19"/>
        <v>1.1374296435272047</v>
      </c>
      <c r="X17" s="1">
        <f t="shared" si="20"/>
        <v>557.72206502826486</v>
      </c>
      <c r="Y17" s="1">
        <f t="shared" si="21"/>
        <v>844.76444430000004</v>
      </c>
      <c r="Z17" s="1">
        <f t="shared" si="22"/>
        <v>998.95064516548348</v>
      </c>
      <c r="AA17" s="1">
        <f t="shared" si="3"/>
        <v>9989506.4516548347</v>
      </c>
      <c r="AB17" s="1">
        <f t="shared" si="23"/>
        <v>10000</v>
      </c>
      <c r="AC17" s="1">
        <f t="shared" si="24"/>
        <v>10000</v>
      </c>
      <c r="AD17" s="1">
        <f t="shared" si="4"/>
        <v>10000</v>
      </c>
      <c r="AE17" s="1">
        <f t="shared" si="25"/>
        <v>10000</v>
      </c>
      <c r="AF17" s="1">
        <f t="shared" si="26"/>
        <v>10000</v>
      </c>
      <c r="AG17" s="1" t="str">
        <f t="shared" si="5"/>
        <v>Error!</v>
      </c>
      <c r="AH17" s="1">
        <f t="shared" si="27"/>
        <v>10000</v>
      </c>
    </row>
    <row r="18" spans="1:34" x14ac:dyDescent="0.25">
      <c r="A18" s="1"/>
      <c r="B18" s="1"/>
      <c r="C18" s="15">
        <v>88.9</v>
      </c>
      <c r="D18" s="15">
        <f t="shared" si="6"/>
        <v>8.89</v>
      </c>
      <c r="E18" s="13">
        <v>4</v>
      </c>
      <c r="F18" s="1" t="s">
        <v>97</v>
      </c>
      <c r="G18" s="13">
        <f t="shared" si="0"/>
        <v>0.4</v>
      </c>
      <c r="H18" s="13">
        <f t="shared" si="7"/>
        <v>16.600000000000001</v>
      </c>
      <c r="I18" s="13">
        <f t="shared" si="8"/>
        <v>89.2</v>
      </c>
      <c r="J18" s="13">
        <f t="shared" si="1"/>
        <v>10000</v>
      </c>
      <c r="K18" s="13">
        <f t="shared" si="2"/>
        <v>10000</v>
      </c>
      <c r="L18" s="13">
        <f>'TW-RBS وسط'!R20*'TW-RBS وسط'!R22*('TW-RBS وسط'!R19-'TW-RBS وسط'!R22)+(0.5*(G18^2)*('TW-RBS وسط'!R19-2*'TW-RBS وسط'!R22)^2)/(J18)</f>
        <v>2862.7442000000001</v>
      </c>
      <c r="M18" s="1">
        <f t="shared" si="9"/>
        <v>0.39079350758384157</v>
      </c>
      <c r="N18" s="1">
        <f t="shared" si="10"/>
        <v>8.4969999999999999</v>
      </c>
      <c r="O18" s="1">
        <f t="shared" si="11"/>
        <v>1127.2388472332987</v>
      </c>
      <c r="P18" s="1">
        <f t="shared" si="12"/>
        <v>1130.355612993425</v>
      </c>
      <c r="Q18" s="1">
        <f t="shared" si="13"/>
        <v>10000</v>
      </c>
      <c r="R18" s="1">
        <f t="shared" si="14"/>
        <v>10000</v>
      </c>
      <c r="S18" s="1">
        <f t="shared" si="15"/>
        <v>0.16115196189024394</v>
      </c>
      <c r="T18" s="1">
        <f t="shared" si="16"/>
        <v>461.33684421991688</v>
      </c>
      <c r="U18" s="1">
        <f t="shared" si="17"/>
        <v>29</v>
      </c>
      <c r="V18" s="1">
        <f t="shared" si="18"/>
        <v>490.33684421991688</v>
      </c>
      <c r="W18" s="1">
        <f t="shared" si="19"/>
        <v>1.1374296435272047</v>
      </c>
      <c r="X18" s="1">
        <f t="shared" si="20"/>
        <v>557.72366192931452</v>
      </c>
      <c r="Y18" s="1">
        <f t="shared" si="21"/>
        <v>844.76444430000004</v>
      </c>
      <c r="Z18" s="1">
        <f t="shared" si="22"/>
        <v>998.95064516548348</v>
      </c>
      <c r="AA18" s="1">
        <f t="shared" si="3"/>
        <v>9989506.4516548347</v>
      </c>
      <c r="AB18" s="1">
        <f t="shared" si="23"/>
        <v>10000</v>
      </c>
      <c r="AC18" s="1">
        <f t="shared" si="24"/>
        <v>10000</v>
      </c>
      <c r="AD18" s="1">
        <f t="shared" si="4"/>
        <v>10000</v>
      </c>
      <c r="AE18" s="1">
        <f t="shared" si="25"/>
        <v>10000</v>
      </c>
      <c r="AF18" s="1">
        <f t="shared" si="26"/>
        <v>10000</v>
      </c>
      <c r="AG18" s="1" t="str">
        <f t="shared" si="5"/>
        <v>Error!</v>
      </c>
      <c r="AH18" s="1">
        <f t="shared" si="27"/>
        <v>10000</v>
      </c>
    </row>
    <row r="19" spans="1:34" x14ac:dyDescent="0.25">
      <c r="A19" s="1"/>
      <c r="B19" s="1"/>
      <c r="C19" s="15">
        <v>88.9</v>
      </c>
      <c r="D19" s="15">
        <f t="shared" si="6"/>
        <v>8.89</v>
      </c>
      <c r="E19" s="13">
        <v>5</v>
      </c>
      <c r="F19" s="1" t="s">
        <v>98</v>
      </c>
      <c r="G19" s="13">
        <f t="shared" si="0"/>
        <v>0.5</v>
      </c>
      <c r="H19" s="13">
        <f t="shared" si="7"/>
        <v>16.600000000000001</v>
      </c>
      <c r="I19" s="13">
        <f t="shared" si="8"/>
        <v>89.2</v>
      </c>
      <c r="J19" s="13">
        <f t="shared" si="1"/>
        <v>10000</v>
      </c>
      <c r="K19" s="13">
        <f t="shared" si="2"/>
        <v>10000</v>
      </c>
      <c r="L19" s="13">
        <f>'TW-RBS وسط'!R20*'TW-RBS وسط'!R22*('TW-RBS وسط'!R19-'TW-RBS وسط'!R22)+(0.5*(G19^2)*('TW-RBS وسط'!R19-2*'TW-RBS وسط'!R22)^2)/(J19)</f>
        <v>2862.7578125000005</v>
      </c>
      <c r="M19" s="1">
        <f t="shared" si="9"/>
        <v>0.39079350758384157</v>
      </c>
      <c r="N19" s="1">
        <f t="shared" si="10"/>
        <v>8.4969999999999999</v>
      </c>
      <c r="O19" s="1">
        <f t="shared" si="11"/>
        <v>1127.2441669099208</v>
      </c>
      <c r="P19" s="1">
        <f t="shared" si="12"/>
        <v>1130.355612993425</v>
      </c>
      <c r="Q19" s="1">
        <f t="shared" si="13"/>
        <v>10000</v>
      </c>
      <c r="R19" s="1">
        <f t="shared" si="14"/>
        <v>10000</v>
      </c>
      <c r="S19" s="1">
        <f t="shared" si="15"/>
        <v>0.16115196189024394</v>
      </c>
      <c r="T19" s="1">
        <f t="shared" si="16"/>
        <v>461.33903790099816</v>
      </c>
      <c r="U19" s="1">
        <f t="shared" si="17"/>
        <v>29</v>
      </c>
      <c r="V19" s="1">
        <f t="shared" si="18"/>
        <v>490.33903790099816</v>
      </c>
      <c r="W19" s="1">
        <f t="shared" si="19"/>
        <v>1.1374296435272047</v>
      </c>
      <c r="X19" s="1">
        <f t="shared" si="20"/>
        <v>557.7261570872048</v>
      </c>
      <c r="Y19" s="1">
        <f t="shared" si="21"/>
        <v>844.76444430000004</v>
      </c>
      <c r="Z19" s="1">
        <f t="shared" si="22"/>
        <v>998.95064516548348</v>
      </c>
      <c r="AA19" s="1">
        <f t="shared" si="3"/>
        <v>9989506.4516548347</v>
      </c>
      <c r="AB19" s="1">
        <f t="shared" si="23"/>
        <v>10000</v>
      </c>
      <c r="AC19" s="1">
        <f t="shared" si="24"/>
        <v>10000</v>
      </c>
      <c r="AD19" s="1">
        <f t="shared" si="4"/>
        <v>10000</v>
      </c>
      <c r="AE19" s="1">
        <f t="shared" si="25"/>
        <v>10000</v>
      </c>
      <c r="AF19" s="1">
        <f t="shared" si="26"/>
        <v>10000</v>
      </c>
      <c r="AG19" s="1" t="str">
        <f t="shared" si="5"/>
        <v>Error!</v>
      </c>
      <c r="AH19" s="1">
        <f t="shared" si="27"/>
        <v>10000</v>
      </c>
    </row>
    <row r="20" spans="1:34" x14ac:dyDescent="0.25">
      <c r="A20" s="1"/>
      <c r="B20" s="1"/>
      <c r="C20" s="15">
        <v>88.9</v>
      </c>
      <c r="D20" s="15">
        <f t="shared" si="6"/>
        <v>8.89</v>
      </c>
      <c r="E20" s="13">
        <v>6.3</v>
      </c>
      <c r="F20" s="1" t="s">
        <v>99</v>
      </c>
      <c r="G20" s="13">
        <f t="shared" si="0"/>
        <v>0.63</v>
      </c>
      <c r="H20" s="13">
        <f t="shared" si="7"/>
        <v>16.600000000000001</v>
      </c>
      <c r="I20" s="13">
        <f t="shared" si="8"/>
        <v>89.2</v>
      </c>
      <c r="J20" s="13">
        <f t="shared" si="1"/>
        <v>10000</v>
      </c>
      <c r="K20" s="13">
        <f t="shared" si="2"/>
        <v>10000</v>
      </c>
      <c r="L20" s="13">
        <f>'TW-RBS وسط'!R20*'TW-RBS وسط'!R22*('TW-RBS وسط'!R19-'TW-RBS وسط'!R22)+(0.5*(G20^2)*('TW-RBS وسط'!R19-2*'TW-RBS وسط'!R22)^2)/(J20)</f>
        <v>2862.7800311250003</v>
      </c>
      <c r="M20" s="1">
        <f t="shared" si="9"/>
        <v>0.39079350758384157</v>
      </c>
      <c r="N20" s="1">
        <f t="shared" si="10"/>
        <v>8.4969999999999999</v>
      </c>
      <c r="O20" s="1">
        <f t="shared" si="11"/>
        <v>1127.252849804318</v>
      </c>
      <c r="P20" s="1">
        <f t="shared" si="12"/>
        <v>1130.355612993425</v>
      </c>
      <c r="Q20" s="1">
        <f t="shared" si="13"/>
        <v>10000</v>
      </c>
      <c r="R20" s="1">
        <f t="shared" si="14"/>
        <v>10000</v>
      </c>
      <c r="S20" s="1">
        <f t="shared" si="15"/>
        <v>0.16115196189024394</v>
      </c>
      <c r="T20" s="1">
        <f t="shared" si="16"/>
        <v>461.34261847600743</v>
      </c>
      <c r="U20" s="1">
        <f t="shared" si="17"/>
        <v>29</v>
      </c>
      <c r="V20" s="1">
        <f t="shared" si="18"/>
        <v>490.34261847600743</v>
      </c>
      <c r="W20" s="1">
        <f t="shared" si="19"/>
        <v>1.1374296435272047</v>
      </c>
      <c r="X20" s="1">
        <f t="shared" si="20"/>
        <v>557.73022973936122</v>
      </c>
      <c r="Y20" s="1">
        <f t="shared" si="21"/>
        <v>844.76444430000004</v>
      </c>
      <c r="Z20" s="1">
        <f t="shared" si="22"/>
        <v>998.95064516548348</v>
      </c>
      <c r="AA20" s="1">
        <f t="shared" si="3"/>
        <v>9989506.4516548347</v>
      </c>
      <c r="AB20" s="1">
        <f t="shared" si="23"/>
        <v>10000</v>
      </c>
      <c r="AC20" s="1">
        <f t="shared" si="24"/>
        <v>10000</v>
      </c>
      <c r="AD20" s="1">
        <f t="shared" si="4"/>
        <v>10000</v>
      </c>
      <c r="AE20" s="1">
        <f t="shared" si="25"/>
        <v>10000</v>
      </c>
      <c r="AF20" s="1">
        <f t="shared" si="26"/>
        <v>10000</v>
      </c>
      <c r="AG20" s="1" t="str">
        <f t="shared" si="5"/>
        <v>Error!</v>
      </c>
      <c r="AH20" s="1">
        <f t="shared" si="27"/>
        <v>10000</v>
      </c>
    </row>
    <row r="21" spans="1:34" x14ac:dyDescent="0.25">
      <c r="A21" s="1"/>
      <c r="B21" s="1"/>
      <c r="C21" s="15">
        <v>101.6</v>
      </c>
      <c r="D21" s="15">
        <f t="shared" si="6"/>
        <v>10.16</v>
      </c>
      <c r="E21" s="13">
        <v>4</v>
      </c>
      <c r="F21" s="1" t="s">
        <v>100</v>
      </c>
      <c r="G21" s="13">
        <f t="shared" si="0"/>
        <v>0.4</v>
      </c>
      <c r="H21" s="13">
        <f t="shared" si="7"/>
        <v>16.600000000000001</v>
      </c>
      <c r="I21" s="13">
        <f t="shared" si="8"/>
        <v>89.2</v>
      </c>
      <c r="J21" s="13">
        <f t="shared" si="1"/>
        <v>10000</v>
      </c>
      <c r="K21" s="13">
        <f t="shared" si="2"/>
        <v>10000</v>
      </c>
      <c r="L21" s="13">
        <f>'TW-RBS وسط'!R20*'TW-RBS وسط'!R22*('TW-RBS وسط'!R19-'TW-RBS وسط'!R22)+(0.5*(G21^2)*('TW-RBS وسط'!R19-2*'TW-RBS وسط'!R22)^2)/(J21)</f>
        <v>2862.7442000000001</v>
      </c>
      <c r="M21" s="1">
        <f t="shared" si="9"/>
        <v>0.39079350758384157</v>
      </c>
      <c r="N21" s="1">
        <f t="shared" si="10"/>
        <v>8.4969999999999999</v>
      </c>
      <c r="O21" s="1">
        <f t="shared" si="11"/>
        <v>1127.2388472332987</v>
      </c>
      <c r="P21" s="1">
        <f t="shared" si="12"/>
        <v>1130.355612993425</v>
      </c>
      <c r="Q21" s="1">
        <f t="shared" si="13"/>
        <v>10000</v>
      </c>
      <c r="R21" s="1">
        <f t="shared" si="14"/>
        <v>10000</v>
      </c>
      <c r="S21" s="1">
        <f t="shared" si="15"/>
        <v>0.16115196189024394</v>
      </c>
      <c r="T21" s="1">
        <f t="shared" si="16"/>
        <v>461.33684421991688</v>
      </c>
      <c r="U21" s="1">
        <f t="shared" si="17"/>
        <v>29</v>
      </c>
      <c r="V21" s="1">
        <f t="shared" si="18"/>
        <v>490.33684421991688</v>
      </c>
      <c r="W21" s="1">
        <f t="shared" si="19"/>
        <v>1.1374296435272047</v>
      </c>
      <c r="X21" s="1">
        <f t="shared" si="20"/>
        <v>557.72366192931452</v>
      </c>
      <c r="Y21" s="1">
        <f t="shared" si="21"/>
        <v>844.76444430000004</v>
      </c>
      <c r="Z21" s="1">
        <f t="shared" si="22"/>
        <v>998.95064516548348</v>
      </c>
      <c r="AA21" s="1">
        <f t="shared" si="3"/>
        <v>9989506.4516548347</v>
      </c>
      <c r="AB21" s="1">
        <f t="shared" si="23"/>
        <v>10000</v>
      </c>
      <c r="AC21" s="1">
        <f t="shared" si="24"/>
        <v>10000</v>
      </c>
      <c r="AD21" s="1">
        <f t="shared" si="4"/>
        <v>10000</v>
      </c>
      <c r="AE21" s="1">
        <f t="shared" si="25"/>
        <v>10000</v>
      </c>
      <c r="AF21" s="1">
        <f t="shared" si="26"/>
        <v>10000</v>
      </c>
      <c r="AG21" s="1" t="str">
        <f t="shared" si="5"/>
        <v>Error!</v>
      </c>
      <c r="AH21" s="1">
        <f t="shared" si="27"/>
        <v>10000</v>
      </c>
    </row>
    <row r="22" spans="1:34" x14ac:dyDescent="0.25">
      <c r="A22" s="1"/>
      <c r="B22" s="1"/>
      <c r="C22" s="15">
        <v>101.6</v>
      </c>
      <c r="D22" s="15">
        <f t="shared" si="6"/>
        <v>10.16</v>
      </c>
      <c r="E22" s="13">
        <v>5</v>
      </c>
      <c r="F22" s="1" t="s">
        <v>101</v>
      </c>
      <c r="G22" s="13">
        <f t="shared" si="0"/>
        <v>0.5</v>
      </c>
      <c r="H22" s="13">
        <f t="shared" si="7"/>
        <v>16.600000000000001</v>
      </c>
      <c r="I22" s="13">
        <f t="shared" si="8"/>
        <v>89.2</v>
      </c>
      <c r="J22" s="13">
        <f t="shared" si="1"/>
        <v>10000</v>
      </c>
      <c r="K22" s="13">
        <f t="shared" si="2"/>
        <v>10000</v>
      </c>
      <c r="L22" s="13">
        <f>'TW-RBS وسط'!R20*'TW-RBS وسط'!R22*('TW-RBS وسط'!R19-'TW-RBS وسط'!R22)+(0.5*(G22^2)*('TW-RBS وسط'!R19-2*'TW-RBS وسط'!R22)^2)/(J22)</f>
        <v>2862.7578125000005</v>
      </c>
      <c r="M22" s="1">
        <f t="shared" si="9"/>
        <v>0.39079350758384157</v>
      </c>
      <c r="N22" s="1">
        <f t="shared" si="10"/>
        <v>8.4969999999999999</v>
      </c>
      <c r="O22" s="1">
        <f t="shared" si="11"/>
        <v>1127.2441669099208</v>
      </c>
      <c r="P22" s="1">
        <f t="shared" si="12"/>
        <v>1130.355612993425</v>
      </c>
      <c r="Q22" s="1">
        <f t="shared" si="13"/>
        <v>10000</v>
      </c>
      <c r="R22" s="1">
        <f t="shared" si="14"/>
        <v>10000</v>
      </c>
      <c r="S22" s="1">
        <f t="shared" si="15"/>
        <v>0.16115196189024394</v>
      </c>
      <c r="T22" s="1">
        <f t="shared" si="16"/>
        <v>461.33903790099816</v>
      </c>
      <c r="U22" s="1">
        <f t="shared" si="17"/>
        <v>29</v>
      </c>
      <c r="V22" s="1">
        <f t="shared" si="18"/>
        <v>490.33903790099816</v>
      </c>
      <c r="W22" s="1">
        <f t="shared" si="19"/>
        <v>1.1374296435272047</v>
      </c>
      <c r="X22" s="1">
        <f t="shared" si="20"/>
        <v>557.7261570872048</v>
      </c>
      <c r="Y22" s="1">
        <f t="shared" si="21"/>
        <v>844.76444430000004</v>
      </c>
      <c r="Z22" s="1">
        <f t="shared" si="22"/>
        <v>998.95064516548348</v>
      </c>
      <c r="AA22" s="1">
        <f t="shared" si="3"/>
        <v>9989506.4516548347</v>
      </c>
      <c r="AB22" s="1">
        <f t="shared" si="23"/>
        <v>10000</v>
      </c>
      <c r="AC22" s="1">
        <f t="shared" si="24"/>
        <v>10000</v>
      </c>
      <c r="AD22" s="1">
        <f t="shared" si="4"/>
        <v>10000</v>
      </c>
      <c r="AE22" s="1">
        <f t="shared" si="25"/>
        <v>10000</v>
      </c>
      <c r="AF22" s="1">
        <f t="shared" si="26"/>
        <v>10000</v>
      </c>
      <c r="AG22" s="1" t="str">
        <f t="shared" si="5"/>
        <v>Error!</v>
      </c>
      <c r="AH22" s="1">
        <f t="shared" si="27"/>
        <v>10000</v>
      </c>
    </row>
    <row r="23" spans="1:34" x14ac:dyDescent="0.25">
      <c r="A23" s="1"/>
      <c r="B23" s="1"/>
      <c r="C23" s="15">
        <v>101.6</v>
      </c>
      <c r="D23" s="15">
        <f t="shared" si="6"/>
        <v>10.16</v>
      </c>
      <c r="E23" s="13">
        <v>6.3</v>
      </c>
      <c r="F23" s="1" t="s">
        <v>102</v>
      </c>
      <c r="G23" s="13">
        <f t="shared" si="0"/>
        <v>0.63</v>
      </c>
      <c r="H23" s="13">
        <f t="shared" si="7"/>
        <v>16.600000000000001</v>
      </c>
      <c r="I23" s="13">
        <f t="shared" si="8"/>
        <v>89.2</v>
      </c>
      <c r="J23" s="13">
        <f t="shared" si="1"/>
        <v>10000</v>
      </c>
      <c r="K23" s="13">
        <f t="shared" si="2"/>
        <v>10000</v>
      </c>
      <c r="L23" s="13">
        <f>'TW-RBS وسط'!R20*'TW-RBS وسط'!R22*('TW-RBS وسط'!R19-'TW-RBS وسط'!R22)+(0.5*(G23^2)*('TW-RBS وسط'!R19-2*'TW-RBS وسط'!R22)^2)/(J23)</f>
        <v>2862.7800311250003</v>
      </c>
      <c r="M23" s="1">
        <f t="shared" si="9"/>
        <v>0.39079350758384157</v>
      </c>
      <c r="N23" s="1">
        <f t="shared" si="10"/>
        <v>8.4969999999999999</v>
      </c>
      <c r="O23" s="1">
        <f t="shared" si="11"/>
        <v>1127.252849804318</v>
      </c>
      <c r="P23" s="1">
        <f t="shared" si="12"/>
        <v>1130.355612993425</v>
      </c>
      <c r="Q23" s="1">
        <f t="shared" si="13"/>
        <v>10000</v>
      </c>
      <c r="R23" s="1">
        <f t="shared" si="14"/>
        <v>10000</v>
      </c>
      <c r="S23" s="1">
        <f t="shared" si="15"/>
        <v>0.16115196189024394</v>
      </c>
      <c r="T23" s="1">
        <f t="shared" si="16"/>
        <v>461.34261847600743</v>
      </c>
      <c r="U23" s="1">
        <f t="shared" si="17"/>
        <v>29</v>
      </c>
      <c r="V23" s="1">
        <f t="shared" si="18"/>
        <v>490.34261847600743</v>
      </c>
      <c r="W23" s="1">
        <f t="shared" si="19"/>
        <v>1.1374296435272047</v>
      </c>
      <c r="X23" s="1">
        <f t="shared" si="20"/>
        <v>557.73022973936122</v>
      </c>
      <c r="Y23" s="1">
        <f t="shared" si="21"/>
        <v>844.76444430000004</v>
      </c>
      <c r="Z23" s="1">
        <f t="shared" si="22"/>
        <v>998.95064516548348</v>
      </c>
      <c r="AA23" s="1">
        <f t="shared" si="3"/>
        <v>9989506.4516548347</v>
      </c>
      <c r="AB23" s="1">
        <f t="shared" si="23"/>
        <v>10000</v>
      </c>
      <c r="AC23" s="1">
        <f t="shared" si="24"/>
        <v>10000</v>
      </c>
      <c r="AD23" s="1">
        <f t="shared" si="4"/>
        <v>10000</v>
      </c>
      <c r="AE23" s="1">
        <f t="shared" si="25"/>
        <v>10000</v>
      </c>
      <c r="AF23" s="1">
        <f t="shared" si="26"/>
        <v>10000</v>
      </c>
      <c r="AG23" s="1" t="str">
        <f t="shared" si="5"/>
        <v>Error!</v>
      </c>
      <c r="AH23" s="1">
        <f t="shared" si="27"/>
        <v>10000</v>
      </c>
    </row>
    <row r="24" spans="1:34" x14ac:dyDescent="0.25">
      <c r="A24" s="1"/>
      <c r="B24" s="1"/>
      <c r="C24" s="15">
        <v>114.3</v>
      </c>
      <c r="D24" s="15">
        <f t="shared" si="6"/>
        <v>11.43</v>
      </c>
      <c r="E24" s="13">
        <v>4</v>
      </c>
      <c r="F24" s="1" t="s">
        <v>103</v>
      </c>
      <c r="G24" s="13">
        <f t="shared" si="0"/>
        <v>0.4</v>
      </c>
      <c r="H24" s="13">
        <f t="shared" si="7"/>
        <v>16.600000000000001</v>
      </c>
      <c r="I24" s="13">
        <f t="shared" si="8"/>
        <v>89.2</v>
      </c>
      <c r="J24" s="13">
        <f t="shared" si="1"/>
        <v>10000</v>
      </c>
      <c r="K24" s="13">
        <f t="shared" si="2"/>
        <v>10000</v>
      </c>
      <c r="L24" s="13">
        <f>'TW-RBS وسط'!R20*'TW-RBS وسط'!R22*('TW-RBS وسط'!R19-'TW-RBS وسط'!R22)+(0.5*(G24^2)*('TW-RBS وسط'!R19-2*'TW-RBS وسط'!R22)^2)/(J24)</f>
        <v>2862.7442000000001</v>
      </c>
      <c r="M24" s="1">
        <f t="shared" si="9"/>
        <v>0.39079350758384157</v>
      </c>
      <c r="N24" s="1">
        <f t="shared" si="10"/>
        <v>8.4969999999999999</v>
      </c>
      <c r="O24" s="1">
        <f t="shared" si="11"/>
        <v>1127.2388472332987</v>
      </c>
      <c r="P24" s="1">
        <f t="shared" si="12"/>
        <v>1130.355612993425</v>
      </c>
      <c r="Q24" s="1">
        <f t="shared" si="13"/>
        <v>10000</v>
      </c>
      <c r="R24" s="1">
        <f t="shared" si="14"/>
        <v>10000</v>
      </c>
      <c r="S24" s="1">
        <f t="shared" si="15"/>
        <v>0.16115196189024394</v>
      </c>
      <c r="T24" s="1">
        <f t="shared" si="16"/>
        <v>461.33684421991688</v>
      </c>
      <c r="U24" s="1">
        <f t="shared" si="17"/>
        <v>29</v>
      </c>
      <c r="V24" s="1">
        <f t="shared" si="18"/>
        <v>490.33684421991688</v>
      </c>
      <c r="W24" s="1">
        <f t="shared" si="19"/>
        <v>1.1374296435272047</v>
      </c>
      <c r="X24" s="1">
        <f t="shared" si="20"/>
        <v>557.72366192931452</v>
      </c>
      <c r="Y24" s="1">
        <f t="shared" si="21"/>
        <v>844.76444430000004</v>
      </c>
      <c r="Z24" s="1">
        <f t="shared" si="22"/>
        <v>998.95064516548348</v>
      </c>
      <c r="AA24" s="1">
        <f t="shared" si="3"/>
        <v>9989506.4516548347</v>
      </c>
      <c r="AB24" s="1">
        <f t="shared" si="23"/>
        <v>10000</v>
      </c>
      <c r="AC24" s="1">
        <f t="shared" si="24"/>
        <v>10000</v>
      </c>
      <c r="AD24" s="1">
        <f t="shared" si="4"/>
        <v>10000</v>
      </c>
      <c r="AE24" s="1">
        <f t="shared" si="25"/>
        <v>10000</v>
      </c>
      <c r="AF24" s="1">
        <f t="shared" si="26"/>
        <v>10000</v>
      </c>
      <c r="AG24" s="1" t="str">
        <f t="shared" si="5"/>
        <v>Error!</v>
      </c>
      <c r="AH24" s="1">
        <f t="shared" si="27"/>
        <v>10000</v>
      </c>
    </row>
    <row r="25" spans="1:34" x14ac:dyDescent="0.25">
      <c r="A25" s="1"/>
      <c r="B25" s="1"/>
      <c r="C25" s="15">
        <v>114.3</v>
      </c>
      <c r="D25" s="15">
        <f t="shared" si="6"/>
        <v>11.43</v>
      </c>
      <c r="E25" s="13">
        <v>5</v>
      </c>
      <c r="F25" s="1" t="s">
        <v>104</v>
      </c>
      <c r="G25" s="13">
        <f t="shared" si="0"/>
        <v>0.5</v>
      </c>
      <c r="H25" s="13">
        <f t="shared" si="7"/>
        <v>16.600000000000001</v>
      </c>
      <c r="I25" s="13">
        <f t="shared" si="8"/>
        <v>89.2</v>
      </c>
      <c r="J25" s="13">
        <f t="shared" si="1"/>
        <v>10000</v>
      </c>
      <c r="K25" s="13">
        <f t="shared" si="2"/>
        <v>10000</v>
      </c>
      <c r="L25" s="13">
        <f>'TW-RBS وسط'!R20*'TW-RBS وسط'!R22*('TW-RBS وسط'!R19-'TW-RBS وسط'!R22)+(0.5*(G25^2)*('TW-RBS وسط'!R19-2*'TW-RBS وسط'!R22)^2)/(J25)</f>
        <v>2862.7578125000005</v>
      </c>
      <c r="M25" s="1">
        <f t="shared" si="9"/>
        <v>0.39079350758384157</v>
      </c>
      <c r="N25" s="1">
        <f t="shared" si="10"/>
        <v>8.4969999999999999</v>
      </c>
      <c r="O25" s="1">
        <f t="shared" si="11"/>
        <v>1127.2441669099208</v>
      </c>
      <c r="P25" s="1">
        <f t="shared" si="12"/>
        <v>1130.355612993425</v>
      </c>
      <c r="Q25" s="1">
        <f t="shared" si="13"/>
        <v>10000</v>
      </c>
      <c r="R25" s="1">
        <f t="shared" si="14"/>
        <v>10000</v>
      </c>
      <c r="S25" s="1">
        <f t="shared" si="15"/>
        <v>0.16115196189024394</v>
      </c>
      <c r="T25" s="1">
        <f t="shared" si="16"/>
        <v>461.33903790099816</v>
      </c>
      <c r="U25" s="1">
        <f t="shared" si="17"/>
        <v>29</v>
      </c>
      <c r="V25" s="1">
        <f t="shared" si="18"/>
        <v>490.33903790099816</v>
      </c>
      <c r="W25" s="1">
        <f t="shared" si="19"/>
        <v>1.1374296435272047</v>
      </c>
      <c r="X25" s="1">
        <f t="shared" si="20"/>
        <v>557.7261570872048</v>
      </c>
      <c r="Y25" s="1">
        <f t="shared" si="21"/>
        <v>844.76444430000004</v>
      </c>
      <c r="Z25" s="1">
        <f t="shared" si="22"/>
        <v>998.95064516548348</v>
      </c>
      <c r="AA25" s="1">
        <f t="shared" si="3"/>
        <v>9989506.4516548347</v>
      </c>
      <c r="AB25" s="1">
        <f t="shared" si="23"/>
        <v>10000</v>
      </c>
      <c r="AC25" s="1">
        <f t="shared" si="24"/>
        <v>10000</v>
      </c>
      <c r="AD25" s="1">
        <f t="shared" si="4"/>
        <v>10000</v>
      </c>
      <c r="AE25" s="1">
        <f t="shared" si="25"/>
        <v>10000</v>
      </c>
      <c r="AF25" s="1">
        <f t="shared" si="26"/>
        <v>10000</v>
      </c>
      <c r="AG25" s="1" t="str">
        <f t="shared" si="5"/>
        <v>Error!</v>
      </c>
      <c r="AH25" s="1">
        <f t="shared" si="27"/>
        <v>10000</v>
      </c>
    </row>
    <row r="26" spans="1:34" x14ac:dyDescent="0.25">
      <c r="A26" s="1"/>
      <c r="B26" s="1"/>
      <c r="C26" s="15">
        <v>114.3</v>
      </c>
      <c r="D26" s="15">
        <f t="shared" si="6"/>
        <v>11.43</v>
      </c>
      <c r="E26" s="13">
        <v>6.3</v>
      </c>
      <c r="F26" s="1" t="s">
        <v>106</v>
      </c>
      <c r="G26" s="13">
        <f t="shared" si="0"/>
        <v>0.63</v>
      </c>
      <c r="H26" s="13">
        <f t="shared" si="7"/>
        <v>16.600000000000001</v>
      </c>
      <c r="I26" s="13">
        <f t="shared" si="8"/>
        <v>89.2</v>
      </c>
      <c r="J26" s="13">
        <f t="shared" si="1"/>
        <v>10000</v>
      </c>
      <c r="K26" s="13">
        <f t="shared" si="2"/>
        <v>10000</v>
      </c>
      <c r="L26" s="13">
        <f>'TW-RBS وسط'!R20*'TW-RBS وسط'!R22*('TW-RBS وسط'!R19-'TW-RBS وسط'!R22)+(0.5*(G26^2)*('TW-RBS وسط'!R19-2*'TW-RBS وسط'!R22)^2)/(J26)</f>
        <v>2862.7800311250003</v>
      </c>
      <c r="M26" s="1">
        <f t="shared" si="9"/>
        <v>0.39079350758384157</v>
      </c>
      <c r="N26" s="1">
        <f t="shared" si="10"/>
        <v>8.4969999999999999</v>
      </c>
      <c r="O26" s="1">
        <f t="shared" si="11"/>
        <v>1127.252849804318</v>
      </c>
      <c r="P26" s="1">
        <f t="shared" si="12"/>
        <v>1130.355612993425</v>
      </c>
      <c r="Q26" s="1">
        <f t="shared" si="13"/>
        <v>10000</v>
      </c>
      <c r="R26" s="1">
        <f t="shared" si="14"/>
        <v>10000</v>
      </c>
      <c r="S26" s="1">
        <f t="shared" si="15"/>
        <v>0.16115196189024394</v>
      </c>
      <c r="T26" s="1">
        <f t="shared" si="16"/>
        <v>461.34261847600743</v>
      </c>
      <c r="U26" s="1">
        <f t="shared" si="17"/>
        <v>29</v>
      </c>
      <c r="V26" s="1">
        <f t="shared" si="18"/>
        <v>490.34261847600743</v>
      </c>
      <c r="W26" s="1">
        <f t="shared" si="19"/>
        <v>1.1374296435272047</v>
      </c>
      <c r="X26" s="1">
        <f t="shared" si="20"/>
        <v>557.73022973936122</v>
      </c>
      <c r="Y26" s="1">
        <f t="shared" si="21"/>
        <v>844.76444430000004</v>
      </c>
      <c r="Z26" s="1">
        <f t="shared" si="22"/>
        <v>998.95064516548348</v>
      </c>
      <c r="AA26" s="1">
        <f t="shared" si="3"/>
        <v>9989506.4516548347</v>
      </c>
      <c r="AB26" s="1">
        <f t="shared" si="23"/>
        <v>10000</v>
      </c>
      <c r="AC26" s="1">
        <f t="shared" si="24"/>
        <v>10000</v>
      </c>
      <c r="AD26" s="1">
        <f t="shared" si="4"/>
        <v>10000</v>
      </c>
      <c r="AE26" s="1">
        <f t="shared" si="25"/>
        <v>10000</v>
      </c>
      <c r="AF26" s="1">
        <f t="shared" si="26"/>
        <v>10000</v>
      </c>
      <c r="AG26" s="1" t="str">
        <f t="shared" si="5"/>
        <v>Error!</v>
      </c>
      <c r="AH26" s="1">
        <f t="shared" si="27"/>
        <v>10000</v>
      </c>
    </row>
    <row r="27" spans="1:34" x14ac:dyDescent="0.25">
      <c r="A27" s="1"/>
      <c r="B27" s="1"/>
      <c r="C27" s="15">
        <v>114.3</v>
      </c>
      <c r="D27" s="15">
        <f t="shared" si="6"/>
        <v>11.43</v>
      </c>
      <c r="E27" s="13">
        <v>8</v>
      </c>
      <c r="F27" s="1" t="s">
        <v>105</v>
      </c>
      <c r="G27" s="13">
        <f t="shared" si="0"/>
        <v>0.8</v>
      </c>
      <c r="H27" s="13">
        <f t="shared" si="7"/>
        <v>16.600000000000001</v>
      </c>
      <c r="I27" s="13">
        <f t="shared" si="8"/>
        <v>89.2</v>
      </c>
      <c r="J27" s="13">
        <f t="shared" si="1"/>
        <v>10000</v>
      </c>
      <c r="K27" s="13">
        <f t="shared" si="2"/>
        <v>10000</v>
      </c>
      <c r="L27" s="13">
        <f>'TW-RBS وسط'!R20*'TW-RBS وسط'!R22*('TW-RBS وسط'!R19-'TW-RBS وسط'!R22)+(0.5*(G27^2)*('TW-RBS وسط'!R19-2*'TW-RBS وسط'!R22)^2)/(J27)</f>
        <v>2862.8168000000001</v>
      </c>
      <c r="M27" s="1">
        <f t="shared" si="9"/>
        <v>0.39079350758384157</v>
      </c>
      <c r="N27" s="1">
        <f t="shared" si="10"/>
        <v>8.4969999999999999</v>
      </c>
      <c r="O27" s="1">
        <f t="shared" si="11"/>
        <v>1127.2672188419492</v>
      </c>
      <c r="P27" s="1">
        <f t="shared" si="12"/>
        <v>1130.355612993425</v>
      </c>
      <c r="Q27" s="1">
        <f t="shared" si="13"/>
        <v>10000</v>
      </c>
      <c r="R27" s="1">
        <f t="shared" si="14"/>
        <v>10000</v>
      </c>
      <c r="S27" s="1">
        <f t="shared" si="15"/>
        <v>0.16115196189024394</v>
      </c>
      <c r="T27" s="1">
        <f t="shared" si="16"/>
        <v>461.34854385235013</v>
      </c>
      <c r="U27" s="1">
        <f t="shared" si="17"/>
        <v>29</v>
      </c>
      <c r="V27" s="1">
        <f t="shared" si="18"/>
        <v>490.34854385235013</v>
      </c>
      <c r="W27" s="1">
        <f t="shared" si="19"/>
        <v>1.1374296435272047</v>
      </c>
      <c r="X27" s="1">
        <f t="shared" si="20"/>
        <v>557.73696943806249</v>
      </c>
      <c r="Y27" s="1">
        <f t="shared" si="21"/>
        <v>844.76444430000004</v>
      </c>
      <c r="Z27" s="1">
        <f t="shared" si="22"/>
        <v>998.95064516548348</v>
      </c>
      <c r="AA27" s="1">
        <f t="shared" si="3"/>
        <v>9989506.4516548347</v>
      </c>
      <c r="AB27" s="1">
        <f t="shared" si="23"/>
        <v>10000</v>
      </c>
      <c r="AC27" s="1">
        <f t="shared" si="24"/>
        <v>10000</v>
      </c>
      <c r="AD27" s="1">
        <f t="shared" si="4"/>
        <v>10000</v>
      </c>
      <c r="AE27" s="1">
        <f t="shared" si="25"/>
        <v>10000</v>
      </c>
      <c r="AF27" s="1">
        <f t="shared" si="26"/>
        <v>10000</v>
      </c>
      <c r="AG27" s="1" t="str">
        <f t="shared" si="5"/>
        <v>Error!</v>
      </c>
      <c r="AH27" s="1">
        <f t="shared" si="27"/>
        <v>10000</v>
      </c>
    </row>
    <row r="28" spans="1:34" x14ac:dyDescent="0.25">
      <c r="A28" s="1"/>
      <c r="B28" s="1"/>
      <c r="C28" s="15">
        <v>139.69999999999999</v>
      </c>
      <c r="D28" s="15">
        <f t="shared" si="6"/>
        <v>13.969999999999999</v>
      </c>
      <c r="E28" s="13">
        <v>4</v>
      </c>
      <c r="F28" s="1" t="s">
        <v>110</v>
      </c>
      <c r="G28" s="13">
        <f t="shared" si="0"/>
        <v>0.4</v>
      </c>
      <c r="H28" s="13">
        <f t="shared" si="7"/>
        <v>16.600000000000001</v>
      </c>
      <c r="I28" s="13">
        <f t="shared" si="8"/>
        <v>89.2</v>
      </c>
      <c r="J28" s="13">
        <f t="shared" si="1"/>
        <v>10000</v>
      </c>
      <c r="K28" s="13">
        <f t="shared" si="2"/>
        <v>10000</v>
      </c>
      <c r="L28" s="13">
        <f>'TW-RBS وسط'!R20*'TW-RBS وسط'!R22*('TW-RBS وسط'!R19-'TW-RBS وسط'!R22)+(0.5*(G28^2)*('TW-RBS وسط'!R19-2*'TW-RBS وسط'!R22)^2)/(J28)</f>
        <v>2862.7442000000001</v>
      </c>
      <c r="M28" s="1">
        <f t="shared" si="9"/>
        <v>0.39079350758384157</v>
      </c>
      <c r="N28" s="1">
        <f t="shared" si="10"/>
        <v>8.4969999999999999</v>
      </c>
      <c r="O28" s="1">
        <f t="shared" si="11"/>
        <v>1127.2388472332987</v>
      </c>
      <c r="P28" s="1">
        <f t="shared" si="12"/>
        <v>1130.355612993425</v>
      </c>
      <c r="Q28" s="1">
        <f t="shared" si="13"/>
        <v>10000</v>
      </c>
      <c r="R28" s="1">
        <f t="shared" si="14"/>
        <v>10000</v>
      </c>
      <c r="S28" s="1">
        <f t="shared" si="15"/>
        <v>0.16115196189024394</v>
      </c>
      <c r="T28" s="1">
        <f t="shared" si="16"/>
        <v>461.33684421991688</v>
      </c>
      <c r="U28" s="1">
        <f t="shared" si="17"/>
        <v>29</v>
      </c>
      <c r="V28" s="1">
        <f t="shared" si="18"/>
        <v>490.33684421991688</v>
      </c>
      <c r="W28" s="1">
        <f t="shared" si="19"/>
        <v>1.1374296435272047</v>
      </c>
      <c r="X28" s="1">
        <f t="shared" si="20"/>
        <v>557.72366192931452</v>
      </c>
      <c r="Y28" s="1">
        <f t="shared" si="21"/>
        <v>844.76444430000004</v>
      </c>
      <c r="Z28" s="1">
        <f t="shared" si="22"/>
        <v>998.95064516548348</v>
      </c>
      <c r="AA28" s="1">
        <f t="shared" si="3"/>
        <v>9989506.4516548347</v>
      </c>
      <c r="AB28" s="1">
        <f t="shared" si="23"/>
        <v>10000</v>
      </c>
      <c r="AC28" s="1">
        <f t="shared" si="24"/>
        <v>10000</v>
      </c>
      <c r="AD28" s="1">
        <f t="shared" si="4"/>
        <v>10000</v>
      </c>
      <c r="AE28" s="1">
        <f t="shared" si="25"/>
        <v>10000</v>
      </c>
      <c r="AF28" s="1">
        <f t="shared" si="26"/>
        <v>10000</v>
      </c>
      <c r="AG28" s="1" t="str">
        <f t="shared" si="5"/>
        <v>Error!</v>
      </c>
      <c r="AH28" s="1">
        <f t="shared" si="27"/>
        <v>10000</v>
      </c>
    </row>
    <row r="29" spans="1:34" x14ac:dyDescent="0.25">
      <c r="A29" s="1"/>
      <c r="B29" s="1"/>
      <c r="C29" s="15">
        <v>139.69999999999999</v>
      </c>
      <c r="D29" s="15">
        <f t="shared" si="6"/>
        <v>13.969999999999999</v>
      </c>
      <c r="E29" s="13">
        <v>5</v>
      </c>
      <c r="F29" s="1" t="s">
        <v>111</v>
      </c>
      <c r="G29" s="13">
        <f t="shared" si="0"/>
        <v>0.5</v>
      </c>
      <c r="H29" s="13">
        <f t="shared" si="7"/>
        <v>16.600000000000001</v>
      </c>
      <c r="I29" s="13">
        <f t="shared" si="8"/>
        <v>89.2</v>
      </c>
      <c r="J29" s="13">
        <f t="shared" si="1"/>
        <v>10000</v>
      </c>
      <c r="K29" s="13">
        <f t="shared" si="2"/>
        <v>10000</v>
      </c>
      <c r="L29" s="13">
        <f>'TW-RBS وسط'!R20*'TW-RBS وسط'!R22*('TW-RBS وسط'!R19-'TW-RBS وسط'!R22)+(0.5*(G29^2)*('TW-RBS وسط'!R19-2*'TW-RBS وسط'!R22)^2)/(J29)</f>
        <v>2862.7578125000005</v>
      </c>
      <c r="M29" s="1">
        <f t="shared" si="9"/>
        <v>0.39079350758384157</v>
      </c>
      <c r="N29" s="1">
        <f t="shared" si="10"/>
        <v>8.4969999999999999</v>
      </c>
      <c r="O29" s="1">
        <f t="shared" si="11"/>
        <v>1127.2441669099208</v>
      </c>
      <c r="P29" s="1">
        <f t="shared" si="12"/>
        <v>1130.355612993425</v>
      </c>
      <c r="Q29" s="1">
        <f t="shared" si="13"/>
        <v>10000</v>
      </c>
      <c r="R29" s="1">
        <f t="shared" si="14"/>
        <v>10000</v>
      </c>
      <c r="S29" s="1">
        <f t="shared" si="15"/>
        <v>0.16115196189024394</v>
      </c>
      <c r="T29" s="1">
        <f t="shared" si="16"/>
        <v>461.33903790099816</v>
      </c>
      <c r="U29" s="1">
        <f t="shared" si="17"/>
        <v>29</v>
      </c>
      <c r="V29" s="1">
        <f t="shared" si="18"/>
        <v>490.33903790099816</v>
      </c>
      <c r="W29" s="1">
        <f t="shared" si="19"/>
        <v>1.1374296435272047</v>
      </c>
      <c r="X29" s="1">
        <f t="shared" si="20"/>
        <v>557.7261570872048</v>
      </c>
      <c r="Y29" s="1">
        <f t="shared" si="21"/>
        <v>844.76444430000004</v>
      </c>
      <c r="Z29" s="1">
        <f t="shared" si="22"/>
        <v>998.95064516548348</v>
      </c>
      <c r="AA29" s="1">
        <f t="shared" si="3"/>
        <v>9989506.4516548347</v>
      </c>
      <c r="AB29" s="1">
        <f t="shared" si="23"/>
        <v>10000</v>
      </c>
      <c r="AC29" s="1">
        <f t="shared" si="24"/>
        <v>10000</v>
      </c>
      <c r="AD29" s="1">
        <f t="shared" si="4"/>
        <v>10000</v>
      </c>
      <c r="AE29" s="1">
        <f t="shared" si="25"/>
        <v>10000</v>
      </c>
      <c r="AF29" s="1">
        <f t="shared" si="26"/>
        <v>10000</v>
      </c>
      <c r="AG29" s="1" t="str">
        <f t="shared" si="5"/>
        <v>Error!</v>
      </c>
      <c r="AH29" s="1">
        <f t="shared" si="27"/>
        <v>10000</v>
      </c>
    </row>
    <row r="30" spans="1:34" x14ac:dyDescent="0.25">
      <c r="A30" s="1"/>
      <c r="B30" s="1"/>
      <c r="C30" s="15">
        <v>139.69999999999999</v>
      </c>
      <c r="D30" s="15">
        <f t="shared" si="6"/>
        <v>13.969999999999999</v>
      </c>
      <c r="E30" s="13">
        <v>6.3</v>
      </c>
      <c r="F30" s="1" t="s">
        <v>112</v>
      </c>
      <c r="G30" s="13">
        <f t="shared" si="0"/>
        <v>0.63</v>
      </c>
      <c r="H30" s="13">
        <f t="shared" si="7"/>
        <v>16.600000000000001</v>
      </c>
      <c r="I30" s="13">
        <f t="shared" si="8"/>
        <v>89.2</v>
      </c>
      <c r="J30" s="13">
        <f t="shared" si="1"/>
        <v>10000</v>
      </c>
      <c r="K30" s="13">
        <f t="shared" si="2"/>
        <v>10000</v>
      </c>
      <c r="L30" s="13">
        <f>'TW-RBS وسط'!R20*'TW-RBS وسط'!R22*('TW-RBS وسط'!R19-'TW-RBS وسط'!R22)+(0.5*(G30^2)*('TW-RBS وسط'!R19-2*'TW-RBS وسط'!R22)^2)/(J30)</f>
        <v>2862.7800311250003</v>
      </c>
      <c r="M30" s="1">
        <f t="shared" si="9"/>
        <v>0.39079350758384157</v>
      </c>
      <c r="N30" s="1">
        <f t="shared" si="10"/>
        <v>8.4969999999999999</v>
      </c>
      <c r="O30" s="1">
        <f t="shared" si="11"/>
        <v>1127.252849804318</v>
      </c>
      <c r="P30" s="1">
        <f t="shared" si="12"/>
        <v>1130.355612993425</v>
      </c>
      <c r="Q30" s="1">
        <f t="shared" si="13"/>
        <v>10000</v>
      </c>
      <c r="R30" s="1">
        <f t="shared" si="14"/>
        <v>10000</v>
      </c>
      <c r="S30" s="1">
        <f t="shared" si="15"/>
        <v>0.16115196189024394</v>
      </c>
      <c r="T30" s="1">
        <f t="shared" si="16"/>
        <v>461.34261847600743</v>
      </c>
      <c r="U30" s="1">
        <f t="shared" si="17"/>
        <v>29</v>
      </c>
      <c r="V30" s="1">
        <f t="shared" si="18"/>
        <v>490.34261847600743</v>
      </c>
      <c r="W30" s="1">
        <f t="shared" si="19"/>
        <v>1.1374296435272047</v>
      </c>
      <c r="X30" s="1">
        <f t="shared" si="20"/>
        <v>557.73022973936122</v>
      </c>
      <c r="Y30" s="1">
        <f t="shared" si="21"/>
        <v>844.76444430000004</v>
      </c>
      <c r="Z30" s="1">
        <f t="shared" si="22"/>
        <v>998.95064516548348</v>
      </c>
      <c r="AA30" s="1">
        <f t="shared" si="3"/>
        <v>9989506.4516548347</v>
      </c>
      <c r="AB30" s="1">
        <f t="shared" si="23"/>
        <v>10000</v>
      </c>
      <c r="AC30" s="1">
        <f t="shared" si="24"/>
        <v>10000</v>
      </c>
      <c r="AD30" s="1">
        <f t="shared" si="4"/>
        <v>10000</v>
      </c>
      <c r="AE30" s="1">
        <f t="shared" si="25"/>
        <v>10000</v>
      </c>
      <c r="AF30" s="1">
        <f t="shared" si="26"/>
        <v>10000</v>
      </c>
      <c r="AG30" s="1" t="str">
        <f t="shared" si="5"/>
        <v>Error!</v>
      </c>
      <c r="AH30" s="1">
        <f t="shared" si="27"/>
        <v>10000</v>
      </c>
    </row>
    <row r="31" spans="1:34" x14ac:dyDescent="0.25">
      <c r="A31" s="1"/>
      <c r="B31" s="1"/>
      <c r="C31" s="15">
        <v>139.69999999999999</v>
      </c>
      <c r="D31" s="15">
        <f t="shared" si="6"/>
        <v>13.969999999999999</v>
      </c>
      <c r="E31" s="13">
        <v>8</v>
      </c>
      <c r="F31" s="1" t="s">
        <v>113</v>
      </c>
      <c r="G31" s="13">
        <f t="shared" si="0"/>
        <v>0.8</v>
      </c>
      <c r="H31" s="13">
        <f t="shared" si="7"/>
        <v>16.600000000000001</v>
      </c>
      <c r="I31" s="13">
        <f t="shared" si="8"/>
        <v>89.2</v>
      </c>
      <c r="J31" s="13">
        <f t="shared" si="1"/>
        <v>10000</v>
      </c>
      <c r="K31" s="13">
        <f t="shared" si="2"/>
        <v>10000</v>
      </c>
      <c r="L31" s="13">
        <f>'TW-RBS وسط'!R20*'TW-RBS وسط'!R22*('TW-RBS وسط'!R19-'TW-RBS وسط'!R22)+(0.5*(G31^2)*('TW-RBS وسط'!R19-2*'TW-RBS وسط'!R22)^2)/(J31)</f>
        <v>2862.8168000000001</v>
      </c>
      <c r="M31" s="1">
        <f t="shared" si="9"/>
        <v>0.39079350758384157</v>
      </c>
      <c r="N31" s="1">
        <f t="shared" si="10"/>
        <v>8.4969999999999999</v>
      </c>
      <c r="O31" s="1">
        <f t="shared" si="11"/>
        <v>1127.2672188419492</v>
      </c>
      <c r="P31" s="1">
        <f t="shared" si="12"/>
        <v>1130.355612993425</v>
      </c>
      <c r="Q31" s="1">
        <f t="shared" si="13"/>
        <v>10000</v>
      </c>
      <c r="R31" s="1">
        <f t="shared" si="14"/>
        <v>10000</v>
      </c>
      <c r="S31" s="1">
        <f t="shared" si="15"/>
        <v>0.16115196189024394</v>
      </c>
      <c r="T31" s="1">
        <f t="shared" si="16"/>
        <v>461.34854385235013</v>
      </c>
      <c r="U31" s="1">
        <f t="shared" si="17"/>
        <v>29</v>
      </c>
      <c r="V31" s="1">
        <f t="shared" si="18"/>
        <v>490.34854385235013</v>
      </c>
      <c r="W31" s="1">
        <f t="shared" si="19"/>
        <v>1.1374296435272047</v>
      </c>
      <c r="X31" s="1">
        <f t="shared" si="20"/>
        <v>557.73696943806249</v>
      </c>
      <c r="Y31" s="1">
        <f t="shared" si="21"/>
        <v>844.76444430000004</v>
      </c>
      <c r="Z31" s="1">
        <f t="shared" si="22"/>
        <v>998.95064516548348</v>
      </c>
      <c r="AA31" s="1">
        <f t="shared" si="3"/>
        <v>9989506.4516548347</v>
      </c>
      <c r="AB31" s="1">
        <f t="shared" si="23"/>
        <v>10000</v>
      </c>
      <c r="AC31" s="1">
        <f t="shared" si="24"/>
        <v>10000</v>
      </c>
      <c r="AD31" s="1">
        <f t="shared" si="4"/>
        <v>10000</v>
      </c>
      <c r="AE31" s="1">
        <f t="shared" si="25"/>
        <v>10000</v>
      </c>
      <c r="AF31" s="1">
        <f t="shared" si="26"/>
        <v>10000</v>
      </c>
      <c r="AG31" s="1" t="str">
        <f t="shared" si="5"/>
        <v>Error!</v>
      </c>
      <c r="AH31" s="1">
        <f t="shared" si="27"/>
        <v>10000</v>
      </c>
    </row>
    <row r="32" spans="1:34" x14ac:dyDescent="0.25">
      <c r="A32" s="1"/>
      <c r="B32" s="1"/>
      <c r="C32" s="15">
        <v>139.69999999999999</v>
      </c>
      <c r="D32" s="15">
        <f t="shared" si="6"/>
        <v>13.969999999999999</v>
      </c>
      <c r="E32" s="13">
        <v>12.5</v>
      </c>
      <c r="F32" s="1" t="s">
        <v>114</v>
      </c>
      <c r="G32" s="13">
        <f t="shared" si="0"/>
        <v>1.25</v>
      </c>
      <c r="H32" s="13">
        <f t="shared" si="7"/>
        <v>16.600000000000001</v>
      </c>
      <c r="I32" s="13">
        <f t="shared" si="8"/>
        <v>89.2</v>
      </c>
      <c r="J32" s="13">
        <f t="shared" si="1"/>
        <v>10000</v>
      </c>
      <c r="K32" s="13">
        <f t="shared" si="2"/>
        <v>10000</v>
      </c>
      <c r="L32" s="13">
        <f>'TW-RBS وسط'!R20*'TW-RBS وسط'!R22*('TW-RBS وسط'!R19-'TW-RBS وسط'!R22)+(0.5*(G32^2)*('TW-RBS وسط'!R19-2*'TW-RBS وسط'!R22)^2)/(J32)</f>
        <v>2862.9563281250003</v>
      </c>
      <c r="M32" s="1">
        <f t="shared" si="9"/>
        <v>0.39079350758384157</v>
      </c>
      <c r="N32" s="1">
        <f t="shared" si="10"/>
        <v>8.4969999999999999</v>
      </c>
      <c r="O32" s="1">
        <f t="shared" si="11"/>
        <v>1127.3217455273245</v>
      </c>
      <c r="P32" s="1">
        <f t="shared" si="12"/>
        <v>1130.355612993425</v>
      </c>
      <c r="Q32" s="1">
        <f t="shared" si="13"/>
        <v>10000</v>
      </c>
      <c r="R32" s="1">
        <f t="shared" si="14"/>
        <v>10000</v>
      </c>
      <c r="S32" s="1">
        <f t="shared" si="15"/>
        <v>0.16115196189024394</v>
      </c>
      <c r="T32" s="1">
        <f t="shared" si="16"/>
        <v>461.3710290834328</v>
      </c>
      <c r="U32" s="1">
        <f t="shared" si="17"/>
        <v>29</v>
      </c>
      <c r="V32" s="1">
        <f t="shared" si="18"/>
        <v>490.3710290834328</v>
      </c>
      <c r="W32" s="1">
        <f t="shared" si="19"/>
        <v>1.1374296435272047</v>
      </c>
      <c r="X32" s="1">
        <f t="shared" si="20"/>
        <v>557.76254480643752</v>
      </c>
      <c r="Y32" s="1">
        <f t="shared" si="21"/>
        <v>844.76444430000004</v>
      </c>
      <c r="Z32" s="1">
        <f t="shared" si="22"/>
        <v>998.95064516548348</v>
      </c>
      <c r="AA32" s="1">
        <f t="shared" si="3"/>
        <v>9989506.4516548347</v>
      </c>
      <c r="AB32" s="1">
        <f t="shared" si="23"/>
        <v>10000</v>
      </c>
      <c r="AC32" s="1">
        <f t="shared" si="24"/>
        <v>10000</v>
      </c>
      <c r="AD32" s="1">
        <f t="shared" si="4"/>
        <v>10000</v>
      </c>
      <c r="AE32" s="1">
        <f t="shared" si="25"/>
        <v>10000</v>
      </c>
      <c r="AF32" s="1">
        <f t="shared" si="26"/>
        <v>10000</v>
      </c>
      <c r="AG32" s="1" t="str">
        <f t="shared" si="5"/>
        <v>Error!</v>
      </c>
      <c r="AH32" s="1">
        <f t="shared" si="27"/>
        <v>10000</v>
      </c>
    </row>
    <row r="33" spans="1:34" x14ac:dyDescent="0.25">
      <c r="A33" s="1"/>
      <c r="B33" s="1"/>
      <c r="C33" s="15">
        <v>168.3</v>
      </c>
      <c r="D33" s="15">
        <f t="shared" si="6"/>
        <v>16.830000000000002</v>
      </c>
      <c r="E33" s="13">
        <v>5</v>
      </c>
      <c r="F33" s="1" t="s">
        <v>107</v>
      </c>
      <c r="G33" s="13">
        <f t="shared" si="0"/>
        <v>0.5</v>
      </c>
      <c r="H33" s="13">
        <f t="shared" si="7"/>
        <v>16.600000000000001</v>
      </c>
      <c r="I33" s="13">
        <f t="shared" si="8"/>
        <v>89.2</v>
      </c>
      <c r="J33" s="13">
        <f t="shared" si="1"/>
        <v>16.830000000000002</v>
      </c>
      <c r="K33" s="13">
        <f t="shared" si="2"/>
        <v>0.5</v>
      </c>
      <c r="L33" s="13">
        <f>'TW-RBS وسط'!R20*'TW-RBS وسط'!R22*('TW-RBS وسط'!R19-'TW-RBS وسط'!R22)+(0.5*(G33^2)*('TW-RBS وسط'!R19-2*'TW-RBS وسط'!R22)^2)/(J33)</f>
        <v>2885.1873202614383</v>
      </c>
      <c r="M33" s="1">
        <f t="shared" si="9"/>
        <v>0.39079350758384157</v>
      </c>
      <c r="N33" s="1">
        <f t="shared" si="10"/>
        <v>8.4969999999999999</v>
      </c>
      <c r="O33" s="1">
        <f t="shared" si="11"/>
        <v>1136.009472921392</v>
      </c>
      <c r="P33" s="1">
        <f t="shared" si="12"/>
        <v>1130.355612993425</v>
      </c>
      <c r="Q33" s="1">
        <f t="shared" si="13"/>
        <v>10000</v>
      </c>
      <c r="R33" s="1">
        <f t="shared" si="14"/>
        <v>10000</v>
      </c>
      <c r="S33" s="1">
        <f t="shared" si="15"/>
        <v>0.16115196189024394</v>
      </c>
      <c r="T33" s="1">
        <f t="shared" si="16"/>
        <v>464.95359708098636</v>
      </c>
      <c r="U33" s="1">
        <f t="shared" si="17"/>
        <v>29</v>
      </c>
      <c r="V33" s="1">
        <f t="shared" si="18"/>
        <v>493.95359708098636</v>
      </c>
      <c r="W33" s="1">
        <f t="shared" si="19"/>
        <v>1.1374296435272047</v>
      </c>
      <c r="X33" s="1">
        <f t="shared" si="20"/>
        <v>561.83746384680683</v>
      </c>
      <c r="Y33" s="1">
        <f t="shared" si="21"/>
        <v>844.76444430000004</v>
      </c>
      <c r="Z33" s="1">
        <f t="shared" si="22"/>
        <v>998.95064516548348</v>
      </c>
      <c r="AA33" s="1">
        <f t="shared" si="3"/>
        <v>9989506.4516548347</v>
      </c>
      <c r="AB33" s="1">
        <f t="shared" si="23"/>
        <v>10000</v>
      </c>
      <c r="AC33" s="1">
        <f t="shared" si="24"/>
        <v>10000</v>
      </c>
      <c r="AD33" s="1">
        <f t="shared" si="4"/>
        <v>10000</v>
      </c>
      <c r="AE33" s="1">
        <f t="shared" si="25"/>
        <v>10000</v>
      </c>
      <c r="AF33" s="1">
        <f t="shared" si="26"/>
        <v>10000</v>
      </c>
      <c r="AG33" s="1" t="str">
        <f t="shared" si="5"/>
        <v>Error!</v>
      </c>
      <c r="AH33" s="1">
        <f t="shared" si="27"/>
        <v>10000</v>
      </c>
    </row>
    <row r="34" spans="1:34" x14ac:dyDescent="0.25">
      <c r="A34" s="1"/>
      <c r="B34" s="1"/>
      <c r="C34" s="15">
        <v>168.3</v>
      </c>
      <c r="D34" s="15">
        <f t="shared" si="6"/>
        <v>16.830000000000002</v>
      </c>
      <c r="E34" s="13">
        <v>6.3</v>
      </c>
      <c r="F34" s="1" t="s">
        <v>108</v>
      </c>
      <c r="G34" s="13">
        <f t="shared" ref="G34:G65" si="28">E34/10</f>
        <v>0.63</v>
      </c>
      <c r="H34" s="13">
        <f t="shared" si="7"/>
        <v>16.600000000000001</v>
      </c>
      <c r="I34" s="13">
        <f t="shared" si="8"/>
        <v>89.2</v>
      </c>
      <c r="J34" s="13">
        <f t="shared" ref="J34:J65" si="29">IF(D34&gt;I34,"Error",IF(D34&lt;H34,10000,D34))</f>
        <v>16.830000000000002</v>
      </c>
      <c r="K34" s="13">
        <f t="shared" ref="K34:K65" si="30">IF(D34&gt;I34,10000,IF(D34&lt;H34,10000,G34))</f>
        <v>0.63</v>
      </c>
      <c r="L34" s="13">
        <f>'TW-RBS وسط'!R20*'TW-RBS وسط'!R22*('TW-RBS وسط'!R19-'TW-RBS وسط'!R22)+(0.5*(G34^2)*('TW-RBS وسط'!R19-2*'TW-RBS وسط'!R22)^2)/(J34)</f>
        <v>2898.3891176470593</v>
      </c>
      <c r="M34" s="1">
        <f t="shared" si="9"/>
        <v>0.39079350758384157</v>
      </c>
      <c r="N34" s="1">
        <f t="shared" si="10"/>
        <v>8.4969999999999999</v>
      </c>
      <c r="O34" s="1">
        <f t="shared" si="11"/>
        <v>1141.16864962813</v>
      </c>
      <c r="P34" s="1">
        <f t="shared" si="12"/>
        <v>1130.355612993425</v>
      </c>
      <c r="Q34" s="1">
        <f t="shared" si="13"/>
        <v>10000</v>
      </c>
      <c r="R34" s="1">
        <f t="shared" si="14"/>
        <v>10000</v>
      </c>
      <c r="S34" s="1">
        <f t="shared" si="15"/>
        <v>0.16115196189024394</v>
      </c>
      <c r="T34" s="1">
        <f t="shared" si="16"/>
        <v>467.08109263015666</v>
      </c>
      <c r="U34" s="1">
        <f t="shared" si="17"/>
        <v>29</v>
      </c>
      <c r="V34" s="1">
        <f t="shared" si="18"/>
        <v>496.08109263015666</v>
      </c>
      <c r="W34" s="1">
        <f t="shared" si="19"/>
        <v>1.1374296435272047</v>
      </c>
      <c r="X34" s="1">
        <f t="shared" si="20"/>
        <v>564.25734035090534</v>
      </c>
      <c r="Y34" s="1">
        <f t="shared" si="21"/>
        <v>844.76444430000004</v>
      </c>
      <c r="Z34" s="1">
        <f t="shared" si="22"/>
        <v>998.95064516548348</v>
      </c>
      <c r="AA34" s="1">
        <f t="shared" ref="AA34:AA65" si="31">Z34*R34</f>
        <v>9989506.4516548347</v>
      </c>
      <c r="AB34" s="1">
        <f t="shared" si="23"/>
        <v>10000</v>
      </c>
      <c r="AC34" s="1">
        <f t="shared" si="24"/>
        <v>10000</v>
      </c>
      <c r="AD34" s="1">
        <f t="shared" ref="AD34:AD65" si="32">IF(V34&gt;0.9*AA34,10000,R34)</f>
        <v>10000</v>
      </c>
      <c r="AE34" s="1">
        <f t="shared" si="25"/>
        <v>10000</v>
      </c>
      <c r="AF34" s="1">
        <f t="shared" si="26"/>
        <v>10000</v>
      </c>
      <c r="AG34" s="1" t="str">
        <f t="shared" ref="AG34:AG65" si="33">IF(MAX(AH34,AF34)=10000,"Error!",F34)</f>
        <v>Error!</v>
      </c>
      <c r="AH34" s="1">
        <f t="shared" si="27"/>
        <v>10000</v>
      </c>
    </row>
    <row r="35" spans="1:34" x14ac:dyDescent="0.25">
      <c r="A35" s="1"/>
      <c r="B35" s="1"/>
      <c r="C35" s="15">
        <v>168.3</v>
      </c>
      <c r="D35" s="15">
        <f t="shared" si="6"/>
        <v>16.830000000000002</v>
      </c>
      <c r="E35" s="13">
        <v>8</v>
      </c>
      <c r="F35" s="1" t="s">
        <v>109</v>
      </c>
      <c r="G35" s="13">
        <f t="shared" si="28"/>
        <v>0.8</v>
      </c>
      <c r="H35" s="13">
        <f t="shared" ref="H35:H66" si="34">$H$2</f>
        <v>16.600000000000001</v>
      </c>
      <c r="I35" s="13">
        <f t="shared" ref="I35:I66" si="35">$I$2</f>
        <v>89.2</v>
      </c>
      <c r="J35" s="13">
        <f t="shared" si="29"/>
        <v>16.830000000000002</v>
      </c>
      <c r="K35" s="13">
        <f t="shared" si="30"/>
        <v>0.8</v>
      </c>
      <c r="L35" s="13">
        <f>'TW-RBS وسط'!R20*'TW-RBS وسط'!R22*('TW-RBS وسط'!R19-'TW-RBS وسط'!R22)+(0.5*(G35^2)*('TW-RBS وسط'!R19-2*'TW-RBS وسط'!R22)^2)/(J35)</f>
        <v>2920.2363398692814</v>
      </c>
      <c r="M35" s="1">
        <f t="shared" ref="M35:M66" si="36">$M$2</f>
        <v>0.39079350758384157</v>
      </c>
      <c r="N35" s="1">
        <f t="shared" ref="N35:N66" si="37">$N$2</f>
        <v>8.4969999999999999</v>
      </c>
      <c r="O35" s="1">
        <f t="shared" si="11"/>
        <v>1149.7064022313159</v>
      </c>
      <c r="P35" s="1">
        <f t="shared" ref="P35:P66" si="38">$P$2</f>
        <v>1130.355612993425</v>
      </c>
      <c r="Q35" s="1">
        <f t="shared" si="13"/>
        <v>10000</v>
      </c>
      <c r="R35" s="1">
        <f t="shared" si="14"/>
        <v>10000</v>
      </c>
      <c r="S35" s="1">
        <f t="shared" ref="S35:S66" si="39">$S$2</f>
        <v>0.16115196189024394</v>
      </c>
      <c r="T35" s="1">
        <f t="shared" si="16"/>
        <v>470.60181535311989</v>
      </c>
      <c r="U35" s="1">
        <f t="shared" ref="U35:U66" si="40">$U$2</f>
        <v>29</v>
      </c>
      <c r="V35" s="1">
        <f t="shared" si="18"/>
        <v>499.60181535311989</v>
      </c>
      <c r="W35" s="1">
        <f t="shared" ref="W35:W66" si="41">$W$2</f>
        <v>1.1374296435272047</v>
      </c>
      <c r="X35" s="1">
        <f t="shared" si="20"/>
        <v>568.26191474264351</v>
      </c>
      <c r="Y35" s="1">
        <f t="shared" ref="Y35:Y66" si="42">$Y$2</f>
        <v>844.76444430000004</v>
      </c>
      <c r="Z35" s="1">
        <f t="shared" ref="Z35:Z66" si="43">$Z$2</f>
        <v>998.95064516548348</v>
      </c>
      <c r="AA35" s="1">
        <f t="shared" si="31"/>
        <v>9989506.4516548347</v>
      </c>
      <c r="AB35" s="1">
        <f t="shared" si="23"/>
        <v>10000</v>
      </c>
      <c r="AC35" s="1">
        <f t="shared" si="24"/>
        <v>10000</v>
      </c>
      <c r="AD35" s="1">
        <f t="shared" si="32"/>
        <v>10000</v>
      </c>
      <c r="AE35" s="1">
        <f t="shared" si="25"/>
        <v>10000</v>
      </c>
      <c r="AF35" s="1">
        <f t="shared" si="26"/>
        <v>10000</v>
      </c>
      <c r="AG35" s="1" t="str">
        <f t="shared" si="33"/>
        <v>Error!</v>
      </c>
      <c r="AH35" s="1">
        <f t="shared" si="27"/>
        <v>10000</v>
      </c>
    </row>
    <row r="36" spans="1:34" x14ac:dyDescent="0.25">
      <c r="A36" s="1"/>
      <c r="B36" s="1"/>
      <c r="C36" s="15">
        <v>168.3</v>
      </c>
      <c r="D36" s="15">
        <f t="shared" si="6"/>
        <v>16.830000000000002</v>
      </c>
      <c r="E36" s="13">
        <v>10</v>
      </c>
      <c r="F36" s="1" t="s">
        <v>115</v>
      </c>
      <c r="G36" s="13">
        <f t="shared" si="28"/>
        <v>1</v>
      </c>
      <c r="H36" s="13">
        <f t="shared" si="34"/>
        <v>16.600000000000001</v>
      </c>
      <c r="I36" s="13">
        <f t="shared" si="35"/>
        <v>89.2</v>
      </c>
      <c r="J36" s="13">
        <f t="shared" si="29"/>
        <v>16.830000000000002</v>
      </c>
      <c r="K36" s="13">
        <f t="shared" si="30"/>
        <v>1</v>
      </c>
      <c r="L36" s="13">
        <f>'TW-RBS وسط'!R20*'TW-RBS وسط'!R22*('TW-RBS وسط'!R19-'TW-RBS وسط'!R22)+(0.5*(G36^2)*('TW-RBS وسط'!R19-2*'TW-RBS وسط'!R22)^2)/(J36)</f>
        <v>2952.5892810457517</v>
      </c>
      <c r="M36" s="1">
        <f t="shared" si="36"/>
        <v>0.39079350758384157</v>
      </c>
      <c r="N36" s="1">
        <f t="shared" si="37"/>
        <v>8.4969999999999999</v>
      </c>
      <c r="O36" s="1">
        <f t="shared" si="11"/>
        <v>1162.3497215943223</v>
      </c>
      <c r="P36" s="1">
        <f t="shared" si="38"/>
        <v>1130.355612993425</v>
      </c>
      <c r="Q36" s="1">
        <f t="shared" si="13"/>
        <v>10000</v>
      </c>
      <c r="R36" s="1">
        <f t="shared" si="14"/>
        <v>10000</v>
      </c>
      <c r="S36" s="1">
        <f t="shared" si="39"/>
        <v>0.16115196189024394</v>
      </c>
      <c r="T36" s="1">
        <f t="shared" si="16"/>
        <v>475.81555529662774</v>
      </c>
      <c r="U36" s="1">
        <f t="shared" si="40"/>
        <v>29</v>
      </c>
      <c r="V36" s="1">
        <f t="shared" si="18"/>
        <v>504.81555529662774</v>
      </c>
      <c r="W36" s="1">
        <f t="shared" si="41"/>
        <v>1.1374296435272047</v>
      </c>
      <c r="X36" s="1">
        <f t="shared" si="20"/>
        <v>574.19217710803116</v>
      </c>
      <c r="Y36" s="1">
        <f t="shared" si="42"/>
        <v>844.76444430000004</v>
      </c>
      <c r="Z36" s="1">
        <f t="shared" si="43"/>
        <v>998.95064516548348</v>
      </c>
      <c r="AA36" s="1">
        <f t="shared" si="31"/>
        <v>9989506.4516548347</v>
      </c>
      <c r="AB36" s="1">
        <f t="shared" si="23"/>
        <v>10000</v>
      </c>
      <c r="AC36" s="1">
        <f t="shared" si="24"/>
        <v>10000</v>
      </c>
      <c r="AD36" s="1">
        <f t="shared" si="32"/>
        <v>10000</v>
      </c>
      <c r="AE36" s="1">
        <f t="shared" si="25"/>
        <v>10000</v>
      </c>
      <c r="AF36" s="1">
        <f t="shared" si="26"/>
        <v>10000</v>
      </c>
      <c r="AG36" s="1" t="str">
        <f t="shared" si="33"/>
        <v>Error!</v>
      </c>
      <c r="AH36" s="1">
        <f t="shared" si="27"/>
        <v>10000</v>
      </c>
    </row>
    <row r="37" spans="1:34" x14ac:dyDescent="0.25">
      <c r="A37" s="1"/>
      <c r="B37" s="1"/>
      <c r="C37" s="15">
        <v>168.3</v>
      </c>
      <c r="D37" s="15">
        <f t="shared" si="6"/>
        <v>16.830000000000002</v>
      </c>
      <c r="E37" s="13">
        <v>12.5</v>
      </c>
      <c r="F37" s="1" t="s">
        <v>116</v>
      </c>
      <c r="G37" s="13">
        <f t="shared" si="28"/>
        <v>1.25</v>
      </c>
      <c r="H37" s="13">
        <f t="shared" si="34"/>
        <v>16.600000000000001</v>
      </c>
      <c r="I37" s="13">
        <f t="shared" si="35"/>
        <v>89.2</v>
      </c>
      <c r="J37" s="13">
        <f t="shared" si="29"/>
        <v>16.830000000000002</v>
      </c>
      <c r="K37" s="13">
        <f t="shared" si="30"/>
        <v>1.25</v>
      </c>
      <c r="L37" s="13">
        <f>'TW-RBS وسط'!R20*'TW-RBS وسط'!R22*('TW-RBS وسط'!R19-'TW-RBS وسط'!R22)+(0.5*(G37^2)*('TW-RBS وسط'!R19-2*'TW-RBS وسط'!R22)^2)/(J37)</f>
        <v>3003.1407516339873</v>
      </c>
      <c r="M37" s="1">
        <f t="shared" si="36"/>
        <v>0.39079350758384157</v>
      </c>
      <c r="N37" s="1">
        <f t="shared" si="37"/>
        <v>8.4969999999999999</v>
      </c>
      <c r="O37" s="1">
        <f t="shared" si="11"/>
        <v>1182.1049080990203</v>
      </c>
      <c r="P37" s="1">
        <f t="shared" si="38"/>
        <v>1130.355612993425</v>
      </c>
      <c r="Q37" s="1">
        <f t="shared" si="13"/>
        <v>10000</v>
      </c>
      <c r="R37" s="1">
        <f t="shared" si="14"/>
        <v>10000</v>
      </c>
      <c r="S37" s="1">
        <f t="shared" si="39"/>
        <v>0.16115196189024394</v>
      </c>
      <c r="T37" s="1">
        <f t="shared" si="16"/>
        <v>483.96202395835888</v>
      </c>
      <c r="U37" s="1">
        <f t="shared" si="40"/>
        <v>29</v>
      </c>
      <c r="V37" s="1">
        <f t="shared" si="18"/>
        <v>512.96202395835894</v>
      </c>
      <c r="W37" s="1">
        <f t="shared" si="41"/>
        <v>1.1374296435272047</v>
      </c>
      <c r="X37" s="1">
        <f t="shared" si="20"/>
        <v>583.45821205394964</v>
      </c>
      <c r="Y37" s="1">
        <f t="shared" si="42"/>
        <v>844.76444430000004</v>
      </c>
      <c r="Z37" s="1">
        <f t="shared" si="43"/>
        <v>998.95064516548348</v>
      </c>
      <c r="AA37" s="1">
        <f t="shared" si="31"/>
        <v>9989506.4516548347</v>
      </c>
      <c r="AB37" s="1">
        <f t="shared" si="23"/>
        <v>10000</v>
      </c>
      <c r="AC37" s="1">
        <f t="shared" si="24"/>
        <v>10000</v>
      </c>
      <c r="AD37" s="1">
        <f t="shared" si="32"/>
        <v>10000</v>
      </c>
      <c r="AE37" s="1">
        <f t="shared" si="25"/>
        <v>10000</v>
      </c>
      <c r="AF37" s="1">
        <f t="shared" si="26"/>
        <v>10000</v>
      </c>
      <c r="AG37" s="1" t="str">
        <f t="shared" si="33"/>
        <v>Error!</v>
      </c>
      <c r="AH37" s="1">
        <f t="shared" si="27"/>
        <v>10000</v>
      </c>
    </row>
    <row r="38" spans="1:34" x14ac:dyDescent="0.25">
      <c r="A38" s="1"/>
      <c r="B38" s="1"/>
      <c r="C38" s="15">
        <v>177.8</v>
      </c>
      <c r="D38" s="15">
        <f t="shared" si="6"/>
        <v>17.78</v>
      </c>
      <c r="E38" s="13">
        <v>6.3</v>
      </c>
      <c r="F38" s="1" t="s">
        <v>117</v>
      </c>
      <c r="G38" s="13">
        <f t="shared" si="28"/>
        <v>0.63</v>
      </c>
      <c r="H38" s="13">
        <f t="shared" si="34"/>
        <v>16.600000000000001</v>
      </c>
      <c r="I38" s="13">
        <f t="shared" si="35"/>
        <v>89.2</v>
      </c>
      <c r="J38" s="13">
        <f t="shared" si="29"/>
        <v>17.78</v>
      </c>
      <c r="K38" s="13">
        <f t="shared" si="30"/>
        <v>0.63</v>
      </c>
      <c r="L38" s="13">
        <f>'TW-RBS وسط'!R20*'TW-RBS وسط'!R22*('TW-RBS وسط'!R19-'TW-RBS وسط'!R22)+(0.5*(G38^2)*('TW-RBS وسط'!R19-2*'TW-RBS وسط'!R22)^2)/(J38)</f>
        <v>2896.4832874015751</v>
      </c>
      <c r="M38" s="1">
        <f t="shared" si="36"/>
        <v>0.39079350758384157</v>
      </c>
      <c r="N38" s="1">
        <f t="shared" si="37"/>
        <v>8.4969999999999999</v>
      </c>
      <c r="O38" s="1">
        <f t="shared" si="11"/>
        <v>1140.423863541638</v>
      </c>
      <c r="P38" s="1">
        <f t="shared" si="38"/>
        <v>1130.355612993425</v>
      </c>
      <c r="Q38" s="1">
        <f t="shared" si="13"/>
        <v>10000</v>
      </c>
      <c r="R38" s="1">
        <f t="shared" si="14"/>
        <v>10000</v>
      </c>
      <c r="S38" s="1">
        <f t="shared" si="39"/>
        <v>0.16115196189024394</v>
      </c>
      <c r="T38" s="1">
        <f t="shared" si="16"/>
        <v>466.77396434706714</v>
      </c>
      <c r="U38" s="1">
        <f t="shared" si="40"/>
        <v>29</v>
      </c>
      <c r="V38" s="1">
        <f t="shared" si="18"/>
        <v>495.77396434706714</v>
      </c>
      <c r="W38" s="1">
        <f t="shared" si="41"/>
        <v>1.1374296435272047</v>
      </c>
      <c r="X38" s="1">
        <f t="shared" si="20"/>
        <v>563.90800353735369</v>
      </c>
      <c r="Y38" s="1">
        <f t="shared" si="42"/>
        <v>844.76444430000004</v>
      </c>
      <c r="Z38" s="1">
        <f t="shared" si="43"/>
        <v>998.95064516548348</v>
      </c>
      <c r="AA38" s="1">
        <f t="shared" si="31"/>
        <v>9989506.4516548347</v>
      </c>
      <c r="AB38" s="1">
        <f t="shared" si="23"/>
        <v>10000</v>
      </c>
      <c r="AC38" s="1">
        <f t="shared" si="24"/>
        <v>10000</v>
      </c>
      <c r="AD38" s="1">
        <f t="shared" si="32"/>
        <v>10000</v>
      </c>
      <c r="AE38" s="1">
        <f t="shared" si="25"/>
        <v>10000</v>
      </c>
      <c r="AF38" s="1">
        <f t="shared" si="26"/>
        <v>10000</v>
      </c>
      <c r="AG38" s="1" t="str">
        <f t="shared" si="33"/>
        <v>Error!</v>
      </c>
      <c r="AH38" s="1">
        <f t="shared" si="27"/>
        <v>10000</v>
      </c>
    </row>
    <row r="39" spans="1:34" x14ac:dyDescent="0.25">
      <c r="A39" s="1"/>
      <c r="B39" s="1"/>
      <c r="C39" s="15">
        <v>177.8</v>
      </c>
      <c r="D39" s="15">
        <f t="shared" si="6"/>
        <v>17.78</v>
      </c>
      <c r="E39" s="13">
        <v>8</v>
      </c>
      <c r="F39" s="1" t="s">
        <v>118</v>
      </c>
      <c r="G39" s="13">
        <f t="shared" si="28"/>
        <v>0.8</v>
      </c>
      <c r="H39" s="13">
        <f t="shared" si="34"/>
        <v>16.600000000000001</v>
      </c>
      <c r="I39" s="13">
        <f t="shared" si="35"/>
        <v>89.2</v>
      </c>
      <c r="J39" s="13">
        <f t="shared" si="29"/>
        <v>17.78</v>
      </c>
      <c r="K39" s="13">
        <f t="shared" si="30"/>
        <v>0.8</v>
      </c>
      <c r="L39" s="13">
        <f>'TW-RBS وسط'!R20*'TW-RBS وسط'!R22*('TW-RBS وسط'!R19-'TW-RBS وسط'!R22)+(0.5*(G39^2)*('TW-RBS وسط'!R19-2*'TW-RBS وسط'!R22)^2)/(J39)</f>
        <v>2917.1631946006751</v>
      </c>
      <c r="M39" s="1">
        <f t="shared" si="36"/>
        <v>0.39079350758384157</v>
      </c>
      <c r="N39" s="1">
        <f t="shared" si="37"/>
        <v>8.4969999999999999</v>
      </c>
      <c r="O39" s="1">
        <f t="shared" si="11"/>
        <v>1148.5054370124824</v>
      </c>
      <c r="P39" s="1">
        <f t="shared" si="38"/>
        <v>1130.355612993425</v>
      </c>
      <c r="Q39" s="1">
        <f t="shared" si="13"/>
        <v>10000</v>
      </c>
      <c r="R39" s="1">
        <f t="shared" si="14"/>
        <v>10000</v>
      </c>
      <c r="S39" s="1">
        <f t="shared" si="39"/>
        <v>0.16115196189024394</v>
      </c>
      <c r="T39" s="1">
        <f t="shared" si="16"/>
        <v>470.10657196391026</v>
      </c>
      <c r="U39" s="1">
        <f t="shared" si="40"/>
        <v>29</v>
      </c>
      <c r="V39" s="1">
        <f t="shared" si="18"/>
        <v>499.10657196391026</v>
      </c>
      <c r="W39" s="1">
        <f t="shared" si="41"/>
        <v>1.1374296435272047</v>
      </c>
      <c r="X39" s="1">
        <f t="shared" si="20"/>
        <v>567.69861023099554</v>
      </c>
      <c r="Y39" s="1">
        <f t="shared" si="42"/>
        <v>844.76444430000004</v>
      </c>
      <c r="Z39" s="1">
        <f t="shared" si="43"/>
        <v>998.95064516548348</v>
      </c>
      <c r="AA39" s="1">
        <f t="shared" si="31"/>
        <v>9989506.4516548347</v>
      </c>
      <c r="AB39" s="1">
        <f t="shared" si="23"/>
        <v>10000</v>
      </c>
      <c r="AC39" s="1">
        <f t="shared" si="24"/>
        <v>10000</v>
      </c>
      <c r="AD39" s="1">
        <f t="shared" si="32"/>
        <v>10000</v>
      </c>
      <c r="AE39" s="1">
        <f t="shared" si="25"/>
        <v>10000</v>
      </c>
      <c r="AF39" s="1">
        <f t="shared" si="26"/>
        <v>10000</v>
      </c>
      <c r="AG39" s="1" t="str">
        <f t="shared" si="33"/>
        <v>Error!</v>
      </c>
      <c r="AH39" s="1">
        <f t="shared" si="27"/>
        <v>10000</v>
      </c>
    </row>
    <row r="40" spans="1:34" x14ac:dyDescent="0.25">
      <c r="A40" s="1"/>
      <c r="B40" s="1"/>
      <c r="C40" s="15">
        <v>177.8</v>
      </c>
      <c r="D40" s="15">
        <f t="shared" si="6"/>
        <v>17.78</v>
      </c>
      <c r="E40" s="13">
        <v>10</v>
      </c>
      <c r="F40" s="1" t="s">
        <v>119</v>
      </c>
      <c r="G40" s="13">
        <f t="shared" si="28"/>
        <v>1</v>
      </c>
      <c r="H40" s="13">
        <f t="shared" si="34"/>
        <v>16.600000000000001</v>
      </c>
      <c r="I40" s="13">
        <f t="shared" si="35"/>
        <v>89.2</v>
      </c>
      <c r="J40" s="13">
        <f t="shared" si="29"/>
        <v>17.78</v>
      </c>
      <c r="K40" s="13">
        <f t="shared" si="30"/>
        <v>1</v>
      </c>
      <c r="L40" s="13">
        <f>'TW-RBS وسط'!R20*'TW-RBS وسط'!R22*('TW-RBS وسط'!R19-'TW-RBS وسط'!R22)+(0.5*(G40^2)*('TW-RBS وسط'!R19-2*'TW-RBS وسط'!R22)^2)/(J40)</f>
        <v>2947.7874915635548</v>
      </c>
      <c r="M40" s="1">
        <f t="shared" si="36"/>
        <v>0.39079350758384157</v>
      </c>
      <c r="N40" s="1">
        <f t="shared" si="37"/>
        <v>8.4969999999999999</v>
      </c>
      <c r="O40" s="1">
        <f t="shared" si="11"/>
        <v>1160.4732134398955</v>
      </c>
      <c r="P40" s="1">
        <f t="shared" si="38"/>
        <v>1130.355612993425</v>
      </c>
      <c r="Q40" s="1">
        <f t="shared" si="13"/>
        <v>10000</v>
      </c>
      <c r="R40" s="1">
        <f t="shared" si="14"/>
        <v>10000</v>
      </c>
      <c r="S40" s="1">
        <f t="shared" si="39"/>
        <v>0.16115196189024394</v>
      </c>
      <c r="T40" s="1">
        <f t="shared" si="16"/>
        <v>475.04173750098778</v>
      </c>
      <c r="U40" s="1">
        <f t="shared" si="40"/>
        <v>29</v>
      </c>
      <c r="V40" s="1">
        <f t="shared" si="18"/>
        <v>504.04173750098778</v>
      </c>
      <c r="W40" s="1">
        <f t="shared" si="41"/>
        <v>1.1374296435272047</v>
      </c>
      <c r="X40" s="1">
        <f t="shared" si="20"/>
        <v>573.31201380858136</v>
      </c>
      <c r="Y40" s="1">
        <f t="shared" si="42"/>
        <v>844.76444430000004</v>
      </c>
      <c r="Z40" s="1">
        <f t="shared" si="43"/>
        <v>998.95064516548348</v>
      </c>
      <c r="AA40" s="1">
        <f t="shared" si="31"/>
        <v>9989506.4516548347</v>
      </c>
      <c r="AB40" s="1">
        <f t="shared" si="23"/>
        <v>10000</v>
      </c>
      <c r="AC40" s="1">
        <f t="shared" si="24"/>
        <v>10000</v>
      </c>
      <c r="AD40" s="1">
        <f t="shared" si="32"/>
        <v>10000</v>
      </c>
      <c r="AE40" s="1">
        <f t="shared" si="25"/>
        <v>10000</v>
      </c>
      <c r="AF40" s="1">
        <f t="shared" si="26"/>
        <v>10000</v>
      </c>
      <c r="AG40" s="1" t="str">
        <f t="shared" si="33"/>
        <v>Error!</v>
      </c>
      <c r="AH40" s="1">
        <f t="shared" si="27"/>
        <v>10000</v>
      </c>
    </row>
    <row r="41" spans="1:34" x14ac:dyDescent="0.25">
      <c r="A41" s="1"/>
      <c r="B41" s="1"/>
      <c r="C41" s="15">
        <v>177.8</v>
      </c>
      <c r="D41" s="15">
        <f t="shared" si="6"/>
        <v>17.78</v>
      </c>
      <c r="E41" s="13">
        <v>12.5</v>
      </c>
      <c r="F41" s="1" t="s">
        <v>120</v>
      </c>
      <c r="G41" s="13">
        <f t="shared" si="28"/>
        <v>1.25</v>
      </c>
      <c r="H41" s="13">
        <f t="shared" si="34"/>
        <v>16.600000000000001</v>
      </c>
      <c r="I41" s="13">
        <f t="shared" si="35"/>
        <v>89.2</v>
      </c>
      <c r="J41" s="13">
        <f t="shared" si="29"/>
        <v>17.78</v>
      </c>
      <c r="K41" s="13">
        <f t="shared" si="30"/>
        <v>1.25</v>
      </c>
      <c r="L41" s="13">
        <f>'TW-RBS وسط'!R20*'TW-RBS وسط'!R22*('TW-RBS وسط'!R19-'TW-RBS وسط'!R22)+(0.5*(G41^2)*('TW-RBS وسط'!R19-2*'TW-RBS وسط'!R22)^2)/(J41)</f>
        <v>2995.6379555680542</v>
      </c>
      <c r="M41" s="1">
        <f t="shared" si="36"/>
        <v>0.39079350758384157</v>
      </c>
      <c r="N41" s="1">
        <f t="shared" si="37"/>
        <v>8.4969999999999999</v>
      </c>
      <c r="O41" s="1">
        <f t="shared" si="11"/>
        <v>1179.1728641077282</v>
      </c>
      <c r="P41" s="1">
        <f t="shared" si="38"/>
        <v>1130.355612993425</v>
      </c>
      <c r="Q41" s="1">
        <f t="shared" si="13"/>
        <v>10000</v>
      </c>
      <c r="R41" s="1">
        <f t="shared" si="14"/>
        <v>10000</v>
      </c>
      <c r="S41" s="1">
        <f t="shared" si="39"/>
        <v>0.16115196189024394</v>
      </c>
      <c r="T41" s="1">
        <f t="shared" si="16"/>
        <v>482.75293365267135</v>
      </c>
      <c r="U41" s="1">
        <f t="shared" si="40"/>
        <v>29</v>
      </c>
      <c r="V41" s="1">
        <f t="shared" si="18"/>
        <v>511.75293365267135</v>
      </c>
      <c r="W41" s="1">
        <f t="shared" si="41"/>
        <v>1.1374296435272047</v>
      </c>
      <c r="X41" s="1">
        <f t="shared" si="20"/>
        <v>582.08295689855913</v>
      </c>
      <c r="Y41" s="1">
        <f t="shared" si="42"/>
        <v>844.76444430000004</v>
      </c>
      <c r="Z41" s="1">
        <f t="shared" si="43"/>
        <v>998.95064516548348</v>
      </c>
      <c r="AA41" s="1">
        <f t="shared" si="31"/>
        <v>9989506.4516548347</v>
      </c>
      <c r="AB41" s="1">
        <f t="shared" si="23"/>
        <v>10000</v>
      </c>
      <c r="AC41" s="1">
        <f t="shared" si="24"/>
        <v>10000</v>
      </c>
      <c r="AD41" s="1">
        <f t="shared" si="32"/>
        <v>10000</v>
      </c>
      <c r="AE41" s="1">
        <f t="shared" si="25"/>
        <v>10000</v>
      </c>
      <c r="AF41" s="1">
        <f t="shared" si="26"/>
        <v>10000</v>
      </c>
      <c r="AG41" s="1" t="str">
        <f t="shared" si="33"/>
        <v>Error!</v>
      </c>
      <c r="AH41" s="1">
        <f t="shared" si="27"/>
        <v>10000</v>
      </c>
    </row>
    <row r="42" spans="1:34" x14ac:dyDescent="0.25">
      <c r="A42" s="1"/>
      <c r="B42" s="1"/>
      <c r="C42" s="15">
        <v>193.7</v>
      </c>
      <c r="D42" s="15">
        <f t="shared" si="6"/>
        <v>19.369999999999997</v>
      </c>
      <c r="E42" s="13">
        <v>6.3</v>
      </c>
      <c r="F42" s="1" t="s">
        <v>121</v>
      </c>
      <c r="G42" s="13">
        <f t="shared" si="28"/>
        <v>0.63</v>
      </c>
      <c r="H42" s="13">
        <f t="shared" si="34"/>
        <v>16.600000000000001</v>
      </c>
      <c r="I42" s="13">
        <f t="shared" si="35"/>
        <v>89.2</v>
      </c>
      <c r="J42" s="13">
        <f t="shared" si="29"/>
        <v>19.369999999999997</v>
      </c>
      <c r="K42" s="13">
        <f t="shared" si="30"/>
        <v>0.63</v>
      </c>
      <c r="L42" s="13">
        <f>'TW-RBS وسط'!R20*'TW-RBS وسط'!R22*('TW-RBS وسط'!R19-'TW-RBS وسط'!R22)+(0.5*(G42^2)*('TW-RBS وسط'!R19-2*'TW-RBS وسط'!R22)^2)/(J42)</f>
        <v>2893.7118043366031</v>
      </c>
      <c r="M42" s="1">
        <f t="shared" si="36"/>
        <v>0.39079350758384157</v>
      </c>
      <c r="N42" s="1">
        <f t="shared" si="37"/>
        <v>8.4969999999999999</v>
      </c>
      <c r="O42" s="1">
        <f t="shared" si="11"/>
        <v>1139.3407859534682</v>
      </c>
      <c r="P42" s="1">
        <f t="shared" si="38"/>
        <v>1130.355612993425</v>
      </c>
      <c r="Q42" s="1">
        <f t="shared" si="13"/>
        <v>10000</v>
      </c>
      <c r="R42" s="1">
        <f t="shared" si="14"/>
        <v>10000</v>
      </c>
      <c r="S42" s="1">
        <f t="shared" si="39"/>
        <v>0.16115196189024394</v>
      </c>
      <c r="T42" s="1">
        <f t="shared" si="16"/>
        <v>466.32733441380128</v>
      </c>
      <c r="U42" s="1">
        <f t="shared" si="40"/>
        <v>29</v>
      </c>
      <c r="V42" s="1">
        <f t="shared" si="18"/>
        <v>495.32733441380128</v>
      </c>
      <c r="W42" s="1">
        <f t="shared" si="41"/>
        <v>1.1374296435272047</v>
      </c>
      <c r="X42" s="1">
        <f t="shared" si="20"/>
        <v>563.39999341157045</v>
      </c>
      <c r="Y42" s="1">
        <f t="shared" si="42"/>
        <v>844.76444430000004</v>
      </c>
      <c r="Z42" s="1">
        <f t="shared" si="43"/>
        <v>998.95064516548348</v>
      </c>
      <c r="AA42" s="1">
        <f t="shared" si="31"/>
        <v>9989506.4516548347</v>
      </c>
      <c r="AB42" s="1">
        <f t="shared" si="23"/>
        <v>10000</v>
      </c>
      <c r="AC42" s="1">
        <f t="shared" si="24"/>
        <v>10000</v>
      </c>
      <c r="AD42" s="1">
        <f t="shared" si="32"/>
        <v>10000</v>
      </c>
      <c r="AE42" s="1">
        <f t="shared" si="25"/>
        <v>10000</v>
      </c>
      <c r="AF42" s="1">
        <f t="shared" si="26"/>
        <v>10000</v>
      </c>
      <c r="AG42" s="1" t="str">
        <f t="shared" si="33"/>
        <v>Error!</v>
      </c>
      <c r="AH42" s="1">
        <f t="shared" si="27"/>
        <v>10000</v>
      </c>
    </row>
    <row r="43" spans="1:34" x14ac:dyDescent="0.25">
      <c r="A43" s="1"/>
      <c r="B43" s="1"/>
      <c r="C43" s="15">
        <v>193.7</v>
      </c>
      <c r="D43" s="15">
        <f t="shared" si="6"/>
        <v>19.369999999999997</v>
      </c>
      <c r="E43" s="13">
        <v>8</v>
      </c>
      <c r="F43" s="1" t="s">
        <v>122</v>
      </c>
      <c r="G43" s="13">
        <f t="shared" si="28"/>
        <v>0.8</v>
      </c>
      <c r="H43" s="13">
        <f t="shared" si="34"/>
        <v>16.600000000000001</v>
      </c>
      <c r="I43" s="13">
        <f t="shared" si="35"/>
        <v>89.2</v>
      </c>
      <c r="J43" s="13">
        <f t="shared" si="29"/>
        <v>19.369999999999997</v>
      </c>
      <c r="K43" s="13">
        <f t="shared" si="30"/>
        <v>0.8</v>
      </c>
      <c r="L43" s="13">
        <f>'TW-RBS وسط'!R20*'TW-RBS وسط'!R22*('TW-RBS وسط'!R19-'TW-RBS وسط'!R22)+(0.5*(G43^2)*('TW-RBS وسط'!R19-2*'TW-RBS وسط'!R22)^2)/(J43)</f>
        <v>2912.694186886939</v>
      </c>
      <c r="M43" s="1">
        <f t="shared" si="36"/>
        <v>0.39079350758384157</v>
      </c>
      <c r="N43" s="1">
        <f t="shared" si="37"/>
        <v>8.4969999999999999</v>
      </c>
      <c r="O43" s="1">
        <f t="shared" si="11"/>
        <v>1146.7589778126123</v>
      </c>
      <c r="P43" s="1">
        <f t="shared" si="38"/>
        <v>1130.355612993425</v>
      </c>
      <c r="Q43" s="1">
        <f t="shared" si="13"/>
        <v>10000</v>
      </c>
      <c r="R43" s="1">
        <f t="shared" si="14"/>
        <v>10000</v>
      </c>
      <c r="S43" s="1">
        <f t="shared" si="39"/>
        <v>0.16115196189024394</v>
      </c>
      <c r="T43" s="1">
        <f t="shared" si="16"/>
        <v>469.38638260313905</v>
      </c>
      <c r="U43" s="1">
        <f t="shared" si="40"/>
        <v>29</v>
      </c>
      <c r="V43" s="1">
        <f t="shared" si="18"/>
        <v>498.38638260313905</v>
      </c>
      <c r="W43" s="1">
        <f t="shared" si="41"/>
        <v>1.1374296435272047</v>
      </c>
      <c r="X43" s="1">
        <f t="shared" si="20"/>
        <v>566.87944550310146</v>
      </c>
      <c r="Y43" s="1">
        <f t="shared" si="42"/>
        <v>844.76444430000004</v>
      </c>
      <c r="Z43" s="1">
        <f t="shared" si="43"/>
        <v>998.95064516548348</v>
      </c>
      <c r="AA43" s="1">
        <f t="shared" si="31"/>
        <v>9989506.4516548347</v>
      </c>
      <c r="AB43" s="1">
        <f t="shared" si="23"/>
        <v>10000</v>
      </c>
      <c r="AC43" s="1">
        <f t="shared" si="24"/>
        <v>10000</v>
      </c>
      <c r="AD43" s="1">
        <f t="shared" si="32"/>
        <v>10000</v>
      </c>
      <c r="AE43" s="1">
        <f t="shared" si="25"/>
        <v>10000</v>
      </c>
      <c r="AF43" s="1">
        <f t="shared" si="26"/>
        <v>10000</v>
      </c>
      <c r="AG43" s="1" t="str">
        <f t="shared" si="33"/>
        <v>Error!</v>
      </c>
      <c r="AH43" s="1">
        <f t="shared" si="27"/>
        <v>10000</v>
      </c>
    </row>
    <row r="44" spans="1:34" x14ac:dyDescent="0.25">
      <c r="A44" s="1"/>
      <c r="B44" s="1"/>
      <c r="C44" s="15">
        <v>193.7</v>
      </c>
      <c r="D44" s="15">
        <f t="shared" si="6"/>
        <v>19.369999999999997</v>
      </c>
      <c r="E44" s="13">
        <v>10</v>
      </c>
      <c r="F44" s="1" t="s">
        <v>123</v>
      </c>
      <c r="G44" s="13">
        <f t="shared" si="28"/>
        <v>1</v>
      </c>
      <c r="H44" s="13">
        <f t="shared" si="34"/>
        <v>16.600000000000001</v>
      </c>
      <c r="I44" s="13">
        <f t="shared" si="35"/>
        <v>89.2</v>
      </c>
      <c r="J44" s="13">
        <f t="shared" si="29"/>
        <v>19.369999999999997</v>
      </c>
      <c r="K44" s="13">
        <f t="shared" si="30"/>
        <v>1</v>
      </c>
      <c r="L44" s="13">
        <f>'TW-RBS وسط'!R20*'TW-RBS وسط'!R22*('TW-RBS وسط'!R19-'TW-RBS وسط'!R22)+(0.5*(G44^2)*('TW-RBS وسط'!R19-2*'TW-RBS وسط'!R22)^2)/(J44)</f>
        <v>2940.804667010842</v>
      </c>
      <c r="M44" s="1">
        <f t="shared" si="36"/>
        <v>0.39079350758384157</v>
      </c>
      <c r="N44" s="1">
        <f t="shared" si="37"/>
        <v>8.4969999999999999</v>
      </c>
      <c r="O44" s="1">
        <f t="shared" si="11"/>
        <v>1157.7443709400982</v>
      </c>
      <c r="P44" s="1">
        <f t="shared" si="38"/>
        <v>1130.355612993425</v>
      </c>
      <c r="Q44" s="1">
        <f t="shared" si="13"/>
        <v>10000</v>
      </c>
      <c r="R44" s="1">
        <f t="shared" si="14"/>
        <v>10000</v>
      </c>
      <c r="S44" s="1">
        <f t="shared" si="39"/>
        <v>0.16115196189024394</v>
      </c>
      <c r="T44" s="1">
        <f t="shared" si="16"/>
        <v>473.91644162478275</v>
      </c>
      <c r="U44" s="1">
        <f t="shared" si="40"/>
        <v>29</v>
      </c>
      <c r="V44" s="1">
        <f t="shared" si="18"/>
        <v>502.91644162478275</v>
      </c>
      <c r="W44" s="1">
        <f t="shared" si="41"/>
        <v>1.1374296435272047</v>
      </c>
      <c r="X44" s="1">
        <f t="shared" si="20"/>
        <v>572.03206892124683</v>
      </c>
      <c r="Y44" s="1">
        <f t="shared" si="42"/>
        <v>844.76444430000004</v>
      </c>
      <c r="Z44" s="1">
        <f t="shared" si="43"/>
        <v>998.95064516548348</v>
      </c>
      <c r="AA44" s="1">
        <f t="shared" si="31"/>
        <v>9989506.4516548347</v>
      </c>
      <c r="AB44" s="1">
        <f t="shared" si="23"/>
        <v>10000</v>
      </c>
      <c r="AC44" s="1">
        <f t="shared" si="24"/>
        <v>10000</v>
      </c>
      <c r="AD44" s="1">
        <f t="shared" si="32"/>
        <v>10000</v>
      </c>
      <c r="AE44" s="1">
        <f t="shared" si="25"/>
        <v>10000</v>
      </c>
      <c r="AF44" s="1">
        <f t="shared" si="26"/>
        <v>10000</v>
      </c>
      <c r="AG44" s="1" t="str">
        <f t="shared" si="33"/>
        <v>Error!</v>
      </c>
      <c r="AH44" s="1">
        <f t="shared" si="27"/>
        <v>10000</v>
      </c>
    </row>
    <row r="45" spans="1:34" x14ac:dyDescent="0.25">
      <c r="A45" s="1"/>
      <c r="B45" s="1"/>
      <c r="C45" s="15">
        <v>193.7</v>
      </c>
      <c r="D45" s="15">
        <f t="shared" si="6"/>
        <v>19.369999999999997</v>
      </c>
      <c r="E45" s="13">
        <v>16</v>
      </c>
      <c r="F45" s="1" t="s">
        <v>124</v>
      </c>
      <c r="G45" s="13">
        <f t="shared" si="28"/>
        <v>1.6</v>
      </c>
      <c r="H45" s="13">
        <f t="shared" si="34"/>
        <v>16.600000000000001</v>
      </c>
      <c r="I45" s="13">
        <f t="shared" si="35"/>
        <v>89.2</v>
      </c>
      <c r="J45" s="13">
        <f t="shared" si="29"/>
        <v>19.369999999999997</v>
      </c>
      <c r="K45" s="13">
        <f t="shared" si="30"/>
        <v>1.6</v>
      </c>
      <c r="L45" s="13">
        <f>'TW-RBS وسط'!R20*'TW-RBS وسط'!R22*('TW-RBS وسط'!R19-'TW-RBS وسط'!R22)+(0.5*(G45^2)*('TW-RBS وسط'!R19-2*'TW-RBS وسط'!R22)^2)/(J45)</f>
        <v>3062.6167475477546</v>
      </c>
      <c r="M45" s="1">
        <f t="shared" si="36"/>
        <v>0.39079350758384157</v>
      </c>
      <c r="N45" s="1">
        <f t="shared" si="37"/>
        <v>8.4969999999999999</v>
      </c>
      <c r="O45" s="1">
        <f t="shared" si="11"/>
        <v>1205.3477411592037</v>
      </c>
      <c r="P45" s="1">
        <f t="shared" si="38"/>
        <v>1130.355612993425</v>
      </c>
      <c r="Q45" s="1">
        <f t="shared" si="13"/>
        <v>10000</v>
      </c>
      <c r="R45" s="1">
        <f t="shared" si="14"/>
        <v>10000</v>
      </c>
      <c r="S45" s="1">
        <f t="shared" si="39"/>
        <v>0.16115196189024394</v>
      </c>
      <c r="T45" s="1">
        <f t="shared" si="16"/>
        <v>493.54669738523859</v>
      </c>
      <c r="U45" s="1">
        <f t="shared" si="40"/>
        <v>29</v>
      </c>
      <c r="V45" s="1">
        <f t="shared" si="18"/>
        <v>522.54669738523853</v>
      </c>
      <c r="W45" s="1">
        <f t="shared" si="41"/>
        <v>1.1374296435272047</v>
      </c>
      <c r="X45" s="1">
        <f t="shared" si="20"/>
        <v>594.36010373320994</v>
      </c>
      <c r="Y45" s="1">
        <f t="shared" si="42"/>
        <v>844.76444430000004</v>
      </c>
      <c r="Z45" s="1">
        <f t="shared" si="43"/>
        <v>998.95064516548348</v>
      </c>
      <c r="AA45" s="1">
        <f t="shared" si="31"/>
        <v>9989506.4516548347</v>
      </c>
      <c r="AB45" s="1">
        <f t="shared" si="23"/>
        <v>10000</v>
      </c>
      <c r="AC45" s="1">
        <f t="shared" si="24"/>
        <v>10000</v>
      </c>
      <c r="AD45" s="1">
        <f t="shared" si="32"/>
        <v>10000</v>
      </c>
      <c r="AE45" s="1">
        <f t="shared" si="25"/>
        <v>10000</v>
      </c>
      <c r="AF45" s="1">
        <f t="shared" si="26"/>
        <v>10000</v>
      </c>
      <c r="AG45" s="1" t="str">
        <f t="shared" si="33"/>
        <v>Error!</v>
      </c>
      <c r="AH45" s="1">
        <f t="shared" si="27"/>
        <v>10000</v>
      </c>
    </row>
    <row r="46" spans="1:34" x14ac:dyDescent="0.25">
      <c r="A46" s="1"/>
      <c r="B46" s="1"/>
      <c r="C46" s="15">
        <v>219.1</v>
      </c>
      <c r="D46" s="15">
        <f t="shared" si="6"/>
        <v>21.91</v>
      </c>
      <c r="E46" s="13">
        <v>6.3</v>
      </c>
      <c r="F46" s="1" t="s">
        <v>161</v>
      </c>
      <c r="G46" s="13">
        <f t="shared" si="28"/>
        <v>0.63</v>
      </c>
      <c r="H46" s="13">
        <f t="shared" si="34"/>
        <v>16.600000000000001</v>
      </c>
      <c r="I46" s="13">
        <f t="shared" si="35"/>
        <v>89.2</v>
      </c>
      <c r="J46" s="13">
        <f t="shared" si="29"/>
        <v>21.91</v>
      </c>
      <c r="K46" s="13">
        <f t="shared" si="30"/>
        <v>0.63</v>
      </c>
      <c r="L46" s="13">
        <f>'TW-RBS وسط'!R20*'TW-RBS وسط'!R22*('TW-RBS وسط'!R19-'TW-RBS وسط'!R22)+(0.5*(G46^2)*('TW-RBS وسط'!R19-2*'TW-RBS وسط'!R22)^2)/(J46)</f>
        <v>2890.1189616613419</v>
      </c>
      <c r="M46" s="1">
        <f t="shared" si="36"/>
        <v>0.39079350758384157</v>
      </c>
      <c r="N46" s="1">
        <f t="shared" si="37"/>
        <v>8.4969999999999999</v>
      </c>
      <c r="O46" s="1">
        <f t="shared" si="11"/>
        <v>1137.9367263622059</v>
      </c>
      <c r="P46" s="1">
        <f t="shared" si="38"/>
        <v>1130.355612993425</v>
      </c>
      <c r="Q46" s="1">
        <f t="shared" si="13"/>
        <v>10000</v>
      </c>
      <c r="R46" s="1">
        <f t="shared" si="14"/>
        <v>10000</v>
      </c>
      <c r="S46" s="1">
        <f t="shared" si="39"/>
        <v>0.16115196189024394</v>
      </c>
      <c r="T46" s="1">
        <f t="shared" si="16"/>
        <v>465.74834076791996</v>
      </c>
      <c r="U46" s="1">
        <f t="shared" si="40"/>
        <v>29</v>
      </c>
      <c r="V46" s="1">
        <f t="shared" si="18"/>
        <v>494.74834076791996</v>
      </c>
      <c r="W46" s="1">
        <f t="shared" si="41"/>
        <v>1.1374296435272047</v>
      </c>
      <c r="X46" s="1">
        <f t="shared" si="20"/>
        <v>562.74142887533117</v>
      </c>
      <c r="Y46" s="1">
        <f t="shared" si="42"/>
        <v>844.76444430000004</v>
      </c>
      <c r="Z46" s="1">
        <f t="shared" si="43"/>
        <v>998.95064516548348</v>
      </c>
      <c r="AA46" s="1">
        <f t="shared" si="31"/>
        <v>9989506.4516548347</v>
      </c>
      <c r="AB46" s="1">
        <f t="shared" si="23"/>
        <v>10000</v>
      </c>
      <c r="AC46" s="1">
        <f t="shared" si="24"/>
        <v>10000</v>
      </c>
      <c r="AD46" s="1">
        <f t="shared" si="32"/>
        <v>10000</v>
      </c>
      <c r="AE46" s="1">
        <f t="shared" si="25"/>
        <v>10000</v>
      </c>
      <c r="AF46" s="1">
        <f t="shared" si="26"/>
        <v>10000</v>
      </c>
      <c r="AG46" s="1" t="str">
        <f t="shared" si="33"/>
        <v>Error!</v>
      </c>
      <c r="AH46" s="1">
        <f t="shared" si="27"/>
        <v>10000</v>
      </c>
    </row>
    <row r="47" spans="1:34" x14ac:dyDescent="0.25">
      <c r="A47" s="1"/>
      <c r="B47" s="1"/>
      <c r="C47" s="15">
        <v>219.1</v>
      </c>
      <c r="D47" s="15">
        <f t="shared" si="6"/>
        <v>21.91</v>
      </c>
      <c r="E47" s="13">
        <v>8</v>
      </c>
      <c r="F47" s="1" t="s">
        <v>162</v>
      </c>
      <c r="G47" s="13">
        <f t="shared" si="28"/>
        <v>0.8</v>
      </c>
      <c r="H47" s="13">
        <f t="shared" si="34"/>
        <v>16.600000000000001</v>
      </c>
      <c r="I47" s="13">
        <f t="shared" si="35"/>
        <v>89.2</v>
      </c>
      <c r="J47" s="13">
        <f t="shared" si="29"/>
        <v>21.91</v>
      </c>
      <c r="K47" s="13">
        <f t="shared" si="30"/>
        <v>0.8</v>
      </c>
      <c r="L47" s="13">
        <f>'TW-RBS وسط'!R20*'TW-RBS وسط'!R22*('TW-RBS وسط'!R19-'TW-RBS وسط'!R22)+(0.5*(G47^2)*('TW-RBS وسط'!R19-2*'TW-RBS وسط'!R22)^2)/(J47)</f>
        <v>2906.9007393884076</v>
      </c>
      <c r="M47" s="1">
        <f t="shared" si="36"/>
        <v>0.39079350758384157</v>
      </c>
      <c r="N47" s="1">
        <f t="shared" si="37"/>
        <v>8.4969999999999999</v>
      </c>
      <c r="O47" s="1">
        <f t="shared" si="11"/>
        <v>1144.4949361436584</v>
      </c>
      <c r="P47" s="1">
        <f t="shared" si="38"/>
        <v>1130.355612993425</v>
      </c>
      <c r="Q47" s="1">
        <f t="shared" si="13"/>
        <v>10000</v>
      </c>
      <c r="R47" s="1">
        <f t="shared" si="14"/>
        <v>10000</v>
      </c>
      <c r="S47" s="1">
        <f t="shared" si="39"/>
        <v>0.16115196189024394</v>
      </c>
      <c r="T47" s="1">
        <f t="shared" si="16"/>
        <v>468.45275717264258</v>
      </c>
      <c r="U47" s="1">
        <f t="shared" si="40"/>
        <v>29</v>
      </c>
      <c r="V47" s="1">
        <f t="shared" si="18"/>
        <v>497.45275717264258</v>
      </c>
      <c r="W47" s="1">
        <f t="shared" si="41"/>
        <v>1.1374296435272047</v>
      </c>
      <c r="X47" s="1">
        <f t="shared" si="20"/>
        <v>565.8175122625039</v>
      </c>
      <c r="Y47" s="1">
        <f t="shared" si="42"/>
        <v>844.76444430000004</v>
      </c>
      <c r="Z47" s="1">
        <f t="shared" si="43"/>
        <v>998.95064516548348</v>
      </c>
      <c r="AA47" s="1">
        <f t="shared" si="31"/>
        <v>9989506.4516548347</v>
      </c>
      <c r="AB47" s="1">
        <f t="shared" si="23"/>
        <v>10000</v>
      </c>
      <c r="AC47" s="1">
        <f t="shared" si="24"/>
        <v>10000</v>
      </c>
      <c r="AD47" s="1">
        <f t="shared" si="32"/>
        <v>10000</v>
      </c>
      <c r="AE47" s="1">
        <f t="shared" si="25"/>
        <v>10000</v>
      </c>
      <c r="AF47" s="1">
        <f t="shared" si="26"/>
        <v>10000</v>
      </c>
      <c r="AG47" s="1" t="str">
        <f t="shared" si="33"/>
        <v>Error!</v>
      </c>
      <c r="AH47" s="1">
        <f t="shared" si="27"/>
        <v>10000</v>
      </c>
    </row>
    <row r="48" spans="1:34" x14ac:dyDescent="0.25">
      <c r="A48" s="1"/>
      <c r="B48" s="1"/>
      <c r="C48" s="15">
        <v>219.1</v>
      </c>
      <c r="D48" s="15">
        <f t="shared" si="6"/>
        <v>21.91</v>
      </c>
      <c r="E48" s="13">
        <v>10</v>
      </c>
      <c r="F48" s="1" t="s">
        <v>163</v>
      </c>
      <c r="G48" s="13">
        <f t="shared" si="28"/>
        <v>1</v>
      </c>
      <c r="H48" s="13">
        <f t="shared" si="34"/>
        <v>16.600000000000001</v>
      </c>
      <c r="I48" s="13">
        <f t="shared" si="35"/>
        <v>89.2</v>
      </c>
      <c r="J48" s="13">
        <f t="shared" si="29"/>
        <v>21.91</v>
      </c>
      <c r="K48" s="13">
        <f t="shared" si="30"/>
        <v>1</v>
      </c>
      <c r="L48" s="13">
        <f>'TW-RBS وسط'!R20*'TW-RBS وسط'!R22*('TW-RBS وسط'!R19-'TW-RBS وسط'!R22)+(0.5*(G48^2)*('TW-RBS وسط'!R19-2*'TW-RBS وسط'!R22)^2)/(J48)</f>
        <v>2931.7524052943863</v>
      </c>
      <c r="M48" s="1">
        <f t="shared" si="36"/>
        <v>0.39079350758384157</v>
      </c>
      <c r="N48" s="1">
        <f t="shared" si="37"/>
        <v>8.4969999999999999</v>
      </c>
      <c r="O48" s="1">
        <f t="shared" si="11"/>
        <v>1154.2068058323575</v>
      </c>
      <c r="P48" s="1">
        <f t="shared" si="38"/>
        <v>1130.355612993425</v>
      </c>
      <c r="Q48" s="1">
        <f t="shared" si="13"/>
        <v>10000</v>
      </c>
      <c r="R48" s="1">
        <f t="shared" si="14"/>
        <v>10000</v>
      </c>
      <c r="S48" s="1">
        <f t="shared" si="39"/>
        <v>0.16115196189024394</v>
      </c>
      <c r="T48" s="1">
        <f t="shared" si="16"/>
        <v>472.45765188963196</v>
      </c>
      <c r="U48" s="1">
        <f t="shared" si="40"/>
        <v>29</v>
      </c>
      <c r="V48" s="1">
        <f t="shared" si="18"/>
        <v>501.45765188963196</v>
      </c>
      <c r="W48" s="1">
        <f t="shared" si="41"/>
        <v>1.1374296435272047</v>
      </c>
      <c r="X48" s="1">
        <f t="shared" si="20"/>
        <v>570.37279823281312</v>
      </c>
      <c r="Y48" s="1">
        <f t="shared" si="42"/>
        <v>844.76444430000004</v>
      </c>
      <c r="Z48" s="1">
        <f t="shared" si="43"/>
        <v>998.95064516548348</v>
      </c>
      <c r="AA48" s="1">
        <f t="shared" si="31"/>
        <v>9989506.4516548347</v>
      </c>
      <c r="AB48" s="1">
        <f t="shared" si="23"/>
        <v>10000</v>
      </c>
      <c r="AC48" s="1">
        <f t="shared" si="24"/>
        <v>10000</v>
      </c>
      <c r="AD48" s="1">
        <f t="shared" si="32"/>
        <v>10000</v>
      </c>
      <c r="AE48" s="1">
        <f t="shared" si="25"/>
        <v>10000</v>
      </c>
      <c r="AF48" s="1">
        <f t="shared" si="26"/>
        <v>10000</v>
      </c>
      <c r="AG48" s="1" t="str">
        <f t="shared" si="33"/>
        <v>Error!</v>
      </c>
      <c r="AH48" s="1">
        <f t="shared" si="27"/>
        <v>10000</v>
      </c>
    </row>
    <row r="49" spans="1:34" x14ac:dyDescent="0.25">
      <c r="A49" s="1"/>
      <c r="B49" s="1"/>
      <c r="C49" s="15">
        <v>219.1</v>
      </c>
      <c r="D49" s="15">
        <f t="shared" si="6"/>
        <v>21.91</v>
      </c>
      <c r="E49" s="13">
        <v>16</v>
      </c>
      <c r="F49" s="1" t="s">
        <v>164</v>
      </c>
      <c r="G49" s="13">
        <f t="shared" si="28"/>
        <v>1.6</v>
      </c>
      <c r="H49" s="13">
        <f t="shared" si="34"/>
        <v>16.600000000000001</v>
      </c>
      <c r="I49" s="13">
        <f t="shared" si="35"/>
        <v>89.2</v>
      </c>
      <c r="J49" s="13">
        <f t="shared" si="29"/>
        <v>21.91</v>
      </c>
      <c r="K49" s="13">
        <f t="shared" si="30"/>
        <v>1.6</v>
      </c>
      <c r="L49" s="13">
        <f>'TW-RBS وسط'!R20*'TW-RBS وسط'!R22*('TW-RBS وسط'!R19-'TW-RBS وسط'!R22)+(0.5*(G49^2)*('TW-RBS وسط'!R19-2*'TW-RBS وسط'!R22)^2)/(J49)</f>
        <v>3039.4429575536287</v>
      </c>
      <c r="M49" s="1">
        <f t="shared" si="36"/>
        <v>0.39079350758384157</v>
      </c>
      <c r="N49" s="1">
        <f t="shared" si="37"/>
        <v>8.4969999999999999</v>
      </c>
      <c r="O49" s="1">
        <f t="shared" si="11"/>
        <v>1196.2915744833879</v>
      </c>
      <c r="P49" s="1">
        <f t="shared" si="38"/>
        <v>1130.355612993425</v>
      </c>
      <c r="Q49" s="1">
        <f t="shared" si="13"/>
        <v>10000</v>
      </c>
      <c r="R49" s="1">
        <f t="shared" si="14"/>
        <v>10000</v>
      </c>
      <c r="S49" s="1">
        <f t="shared" si="39"/>
        <v>0.16115196189024394</v>
      </c>
      <c r="T49" s="1">
        <f t="shared" si="16"/>
        <v>489.81219566325274</v>
      </c>
      <c r="U49" s="1">
        <f t="shared" si="40"/>
        <v>29</v>
      </c>
      <c r="V49" s="1">
        <f t="shared" si="18"/>
        <v>518.81219566325274</v>
      </c>
      <c r="W49" s="1">
        <f t="shared" si="41"/>
        <v>1.1374296435272047</v>
      </c>
      <c r="X49" s="1">
        <f t="shared" si="20"/>
        <v>590.11237077081989</v>
      </c>
      <c r="Y49" s="1">
        <f t="shared" si="42"/>
        <v>844.76444430000004</v>
      </c>
      <c r="Z49" s="1">
        <f t="shared" si="43"/>
        <v>998.95064516548348</v>
      </c>
      <c r="AA49" s="1">
        <f t="shared" si="31"/>
        <v>9989506.4516548347</v>
      </c>
      <c r="AB49" s="1">
        <f t="shared" si="23"/>
        <v>10000</v>
      </c>
      <c r="AC49" s="1">
        <f t="shared" si="24"/>
        <v>10000</v>
      </c>
      <c r="AD49" s="1">
        <f t="shared" si="32"/>
        <v>10000</v>
      </c>
      <c r="AE49" s="1">
        <f t="shared" si="25"/>
        <v>10000</v>
      </c>
      <c r="AF49" s="1">
        <f t="shared" si="26"/>
        <v>10000</v>
      </c>
      <c r="AG49" s="1" t="str">
        <f t="shared" si="33"/>
        <v>Error!</v>
      </c>
      <c r="AH49" s="1">
        <f t="shared" si="27"/>
        <v>10000</v>
      </c>
    </row>
    <row r="50" spans="1:34" x14ac:dyDescent="0.25">
      <c r="A50" s="1"/>
      <c r="B50" s="1"/>
      <c r="C50" s="15">
        <v>219.1</v>
      </c>
      <c r="D50" s="15">
        <f t="shared" si="6"/>
        <v>21.91</v>
      </c>
      <c r="E50" s="13">
        <v>20</v>
      </c>
      <c r="F50" s="1" t="s">
        <v>165</v>
      </c>
      <c r="G50" s="13">
        <f t="shared" si="28"/>
        <v>2</v>
      </c>
      <c r="H50" s="13">
        <f t="shared" si="34"/>
        <v>16.600000000000001</v>
      </c>
      <c r="I50" s="13">
        <f t="shared" si="35"/>
        <v>89.2</v>
      </c>
      <c r="J50" s="13">
        <f t="shared" si="29"/>
        <v>21.91</v>
      </c>
      <c r="K50" s="13">
        <f t="shared" si="30"/>
        <v>2</v>
      </c>
      <c r="L50" s="13">
        <f>'TW-RBS وسط'!R20*'TW-RBS وسط'!R22*('TW-RBS وسط'!R19-'TW-RBS وسط'!R22)+(0.5*(G50^2)*('TW-RBS وسط'!R19-2*'TW-RBS وسط'!R22)^2)/(J50)</f>
        <v>3138.8496211775446</v>
      </c>
      <c r="M50" s="1">
        <f t="shared" si="36"/>
        <v>0.39079350758384157</v>
      </c>
      <c r="N50" s="1">
        <f t="shared" si="37"/>
        <v>8.4969999999999999</v>
      </c>
      <c r="O50" s="1">
        <f t="shared" si="11"/>
        <v>1235.1390532381852</v>
      </c>
      <c r="P50" s="1">
        <f t="shared" si="38"/>
        <v>1130.355612993425</v>
      </c>
      <c r="Q50" s="1">
        <f t="shared" si="13"/>
        <v>10000</v>
      </c>
      <c r="R50" s="1">
        <f t="shared" si="14"/>
        <v>10000</v>
      </c>
      <c r="S50" s="1">
        <f t="shared" si="39"/>
        <v>0.16115196189024394</v>
      </c>
      <c r="T50" s="1">
        <f t="shared" si="16"/>
        <v>505.83177453121033</v>
      </c>
      <c r="U50" s="1">
        <f t="shared" si="40"/>
        <v>29</v>
      </c>
      <c r="V50" s="1">
        <f t="shared" si="18"/>
        <v>534.83177453121039</v>
      </c>
      <c r="W50" s="1">
        <f t="shared" si="41"/>
        <v>1.1374296435272047</v>
      </c>
      <c r="X50" s="1">
        <f t="shared" si="20"/>
        <v>608.33351465205692</v>
      </c>
      <c r="Y50" s="1">
        <f t="shared" si="42"/>
        <v>844.76444430000004</v>
      </c>
      <c r="Z50" s="1">
        <f t="shared" si="43"/>
        <v>998.95064516548348</v>
      </c>
      <c r="AA50" s="1">
        <f t="shared" si="31"/>
        <v>9989506.4516548347</v>
      </c>
      <c r="AB50" s="1">
        <f t="shared" si="23"/>
        <v>10000</v>
      </c>
      <c r="AC50" s="1">
        <f t="shared" si="24"/>
        <v>10000</v>
      </c>
      <c r="AD50" s="1">
        <f t="shared" si="32"/>
        <v>10000</v>
      </c>
      <c r="AE50" s="1">
        <f t="shared" si="25"/>
        <v>10000</v>
      </c>
      <c r="AF50" s="1">
        <f t="shared" si="26"/>
        <v>10000</v>
      </c>
      <c r="AG50" s="1" t="str">
        <f t="shared" si="33"/>
        <v>Error!</v>
      </c>
      <c r="AH50" s="1">
        <f t="shared" si="27"/>
        <v>10000</v>
      </c>
    </row>
    <row r="51" spans="1:34" x14ac:dyDescent="0.25">
      <c r="A51" s="1"/>
      <c r="B51" s="1"/>
      <c r="C51" s="15">
        <v>244.5</v>
      </c>
      <c r="D51" s="15">
        <f t="shared" si="6"/>
        <v>24.45</v>
      </c>
      <c r="E51" s="13">
        <v>6.3</v>
      </c>
      <c r="F51" s="1" t="s">
        <v>125</v>
      </c>
      <c r="G51" s="13">
        <f t="shared" si="28"/>
        <v>0.63</v>
      </c>
      <c r="H51" s="13">
        <f t="shared" si="34"/>
        <v>16.600000000000001</v>
      </c>
      <c r="I51" s="13">
        <f t="shared" si="35"/>
        <v>89.2</v>
      </c>
      <c r="J51" s="13">
        <f t="shared" si="29"/>
        <v>24.45</v>
      </c>
      <c r="K51" s="13">
        <f t="shared" si="30"/>
        <v>0.63</v>
      </c>
      <c r="L51" s="13">
        <f>'TW-RBS وسط'!R20*'TW-RBS وسط'!R22*('TW-RBS وسط'!R19-'TW-RBS وسط'!R22)+(0.5*(G51^2)*('TW-RBS وسط'!R19-2*'TW-RBS وسط'!R22)^2)/(J51)</f>
        <v>2887.2726073619633</v>
      </c>
      <c r="M51" s="1">
        <f t="shared" si="36"/>
        <v>0.39079350758384157</v>
      </c>
      <c r="N51" s="1">
        <f t="shared" si="37"/>
        <v>8.4969999999999999</v>
      </c>
      <c r="O51" s="1">
        <f t="shared" si="11"/>
        <v>1136.8243895817254</v>
      </c>
      <c r="P51" s="1">
        <f t="shared" si="38"/>
        <v>1130.355612993425</v>
      </c>
      <c r="Q51" s="1">
        <f t="shared" si="13"/>
        <v>10000</v>
      </c>
      <c r="R51" s="1">
        <f t="shared" si="14"/>
        <v>10000</v>
      </c>
      <c r="S51" s="1">
        <f t="shared" si="39"/>
        <v>0.16115196189024394</v>
      </c>
      <c r="T51" s="1">
        <f t="shared" si="16"/>
        <v>465.28964518834039</v>
      </c>
      <c r="U51" s="1">
        <f t="shared" si="40"/>
        <v>29</v>
      </c>
      <c r="V51" s="1">
        <f t="shared" si="18"/>
        <v>494.28964518834039</v>
      </c>
      <c r="W51" s="1">
        <f t="shared" si="41"/>
        <v>1.1374296435272047</v>
      </c>
      <c r="X51" s="1">
        <f t="shared" si="20"/>
        <v>562.2196949257625</v>
      </c>
      <c r="Y51" s="1">
        <f t="shared" si="42"/>
        <v>844.76444430000004</v>
      </c>
      <c r="Z51" s="1">
        <f t="shared" si="43"/>
        <v>998.95064516548348</v>
      </c>
      <c r="AA51" s="1">
        <f t="shared" si="31"/>
        <v>9989506.4516548347</v>
      </c>
      <c r="AB51" s="1">
        <f t="shared" si="23"/>
        <v>10000</v>
      </c>
      <c r="AC51" s="1">
        <f t="shared" si="24"/>
        <v>10000</v>
      </c>
      <c r="AD51" s="1">
        <f t="shared" si="32"/>
        <v>10000</v>
      </c>
      <c r="AE51" s="1">
        <f t="shared" si="25"/>
        <v>10000</v>
      </c>
      <c r="AF51" s="1">
        <f t="shared" si="26"/>
        <v>10000</v>
      </c>
      <c r="AG51" s="1" t="str">
        <f t="shared" si="33"/>
        <v>Error!</v>
      </c>
      <c r="AH51" s="1">
        <f t="shared" si="27"/>
        <v>10000</v>
      </c>
    </row>
    <row r="52" spans="1:34" x14ac:dyDescent="0.25">
      <c r="A52" s="1"/>
      <c r="B52" s="1"/>
      <c r="C52" s="15">
        <v>244.5</v>
      </c>
      <c r="D52" s="15">
        <f t="shared" si="6"/>
        <v>24.45</v>
      </c>
      <c r="E52" s="13">
        <v>8</v>
      </c>
      <c r="F52" s="1" t="s">
        <v>126</v>
      </c>
      <c r="G52" s="13">
        <f t="shared" si="28"/>
        <v>0.8</v>
      </c>
      <c r="H52" s="13">
        <f t="shared" si="34"/>
        <v>16.600000000000001</v>
      </c>
      <c r="I52" s="13">
        <f t="shared" si="35"/>
        <v>89.2</v>
      </c>
      <c r="J52" s="13">
        <f t="shared" si="29"/>
        <v>24.45</v>
      </c>
      <c r="K52" s="13">
        <f t="shared" si="30"/>
        <v>0.8</v>
      </c>
      <c r="L52" s="13">
        <f>'TW-RBS وسط'!R20*'TW-RBS وسط'!R22*('TW-RBS وسط'!R19-'TW-RBS وسط'!R22)+(0.5*(G52^2)*('TW-RBS وسط'!R19-2*'TW-RBS وسط'!R22)^2)/(J52)</f>
        <v>2902.3110020449899</v>
      </c>
      <c r="M52" s="1">
        <f t="shared" si="36"/>
        <v>0.39079350758384157</v>
      </c>
      <c r="N52" s="1">
        <f t="shared" si="37"/>
        <v>8.4969999999999999</v>
      </c>
      <c r="O52" s="1">
        <f t="shared" si="11"/>
        <v>1142.7012965883357</v>
      </c>
      <c r="P52" s="1">
        <f t="shared" si="38"/>
        <v>1130.355612993425</v>
      </c>
      <c r="Q52" s="1">
        <f t="shared" si="13"/>
        <v>10000</v>
      </c>
      <c r="R52" s="1">
        <f t="shared" si="14"/>
        <v>10000</v>
      </c>
      <c r="S52" s="1">
        <f t="shared" si="39"/>
        <v>0.16115196189024394</v>
      </c>
      <c r="T52" s="1">
        <f t="shared" si="16"/>
        <v>467.71311199518993</v>
      </c>
      <c r="U52" s="1">
        <f t="shared" si="40"/>
        <v>29</v>
      </c>
      <c r="V52" s="1">
        <f t="shared" si="18"/>
        <v>496.71311199518993</v>
      </c>
      <c r="W52" s="1">
        <f t="shared" si="41"/>
        <v>1.1374296435272047</v>
      </c>
      <c r="X52" s="1">
        <f t="shared" si="20"/>
        <v>564.97621791197741</v>
      </c>
      <c r="Y52" s="1">
        <f t="shared" si="42"/>
        <v>844.76444430000004</v>
      </c>
      <c r="Z52" s="1">
        <f t="shared" si="43"/>
        <v>998.95064516548348</v>
      </c>
      <c r="AA52" s="1">
        <f t="shared" si="31"/>
        <v>9989506.4516548347</v>
      </c>
      <c r="AB52" s="1">
        <f t="shared" si="23"/>
        <v>10000</v>
      </c>
      <c r="AC52" s="1">
        <f t="shared" si="24"/>
        <v>10000</v>
      </c>
      <c r="AD52" s="1">
        <f t="shared" si="32"/>
        <v>10000</v>
      </c>
      <c r="AE52" s="1">
        <f t="shared" si="25"/>
        <v>10000</v>
      </c>
      <c r="AF52" s="1">
        <f t="shared" si="26"/>
        <v>10000</v>
      </c>
      <c r="AG52" s="1" t="str">
        <f t="shared" si="33"/>
        <v>Error!</v>
      </c>
      <c r="AH52" s="1">
        <f t="shared" si="27"/>
        <v>10000</v>
      </c>
    </row>
    <row r="53" spans="1:34" x14ac:dyDescent="0.25">
      <c r="A53" s="1"/>
      <c r="B53" s="1"/>
      <c r="C53" s="15">
        <v>244.5</v>
      </c>
      <c r="D53" s="15">
        <f t="shared" si="6"/>
        <v>24.45</v>
      </c>
      <c r="E53" s="13">
        <v>10</v>
      </c>
      <c r="F53" s="1" t="s">
        <v>127</v>
      </c>
      <c r="G53" s="13">
        <f t="shared" si="28"/>
        <v>1</v>
      </c>
      <c r="H53" s="13">
        <f t="shared" si="34"/>
        <v>16.600000000000001</v>
      </c>
      <c r="I53" s="13">
        <f t="shared" si="35"/>
        <v>89.2</v>
      </c>
      <c r="J53" s="13">
        <f t="shared" si="29"/>
        <v>24.45</v>
      </c>
      <c r="K53" s="13">
        <f t="shared" si="30"/>
        <v>1</v>
      </c>
      <c r="L53" s="13">
        <f>'TW-RBS وسط'!R20*'TW-RBS وسط'!R22*('TW-RBS وسط'!R19-'TW-RBS وسط'!R22)+(0.5*(G53^2)*('TW-RBS وسط'!R19-2*'TW-RBS وسط'!R22)^2)/(J53)</f>
        <v>2924.5809406952967</v>
      </c>
      <c r="M53" s="1">
        <f t="shared" si="36"/>
        <v>0.39079350758384157</v>
      </c>
      <c r="N53" s="1">
        <f t="shared" si="37"/>
        <v>8.4969999999999999</v>
      </c>
      <c r="O53" s="1">
        <f t="shared" si="11"/>
        <v>1151.404244027166</v>
      </c>
      <c r="P53" s="1">
        <f t="shared" si="38"/>
        <v>1130.355612993425</v>
      </c>
      <c r="Q53" s="1">
        <f t="shared" si="13"/>
        <v>10000</v>
      </c>
      <c r="R53" s="1">
        <f t="shared" si="14"/>
        <v>10000</v>
      </c>
      <c r="S53" s="1">
        <f t="shared" si="39"/>
        <v>0.16115196189024394</v>
      </c>
      <c r="T53" s="1">
        <f t="shared" si="16"/>
        <v>471.30195629986224</v>
      </c>
      <c r="U53" s="1">
        <f t="shared" si="40"/>
        <v>29</v>
      </c>
      <c r="V53" s="1">
        <f t="shared" si="18"/>
        <v>500.30195629986224</v>
      </c>
      <c r="W53" s="1">
        <f t="shared" si="41"/>
        <v>1.1374296435272047</v>
      </c>
      <c r="X53" s="1">
        <f t="shared" si="20"/>
        <v>569.05827581011545</v>
      </c>
      <c r="Y53" s="1">
        <f t="shared" si="42"/>
        <v>844.76444430000004</v>
      </c>
      <c r="Z53" s="1">
        <f t="shared" si="43"/>
        <v>998.95064516548348</v>
      </c>
      <c r="AA53" s="1">
        <f t="shared" si="31"/>
        <v>9989506.4516548347</v>
      </c>
      <c r="AB53" s="1">
        <f t="shared" si="23"/>
        <v>10000</v>
      </c>
      <c r="AC53" s="1">
        <f t="shared" si="24"/>
        <v>10000</v>
      </c>
      <c r="AD53" s="1">
        <f t="shared" si="32"/>
        <v>10000</v>
      </c>
      <c r="AE53" s="1">
        <f t="shared" si="25"/>
        <v>10000</v>
      </c>
      <c r="AF53" s="1">
        <f t="shared" si="26"/>
        <v>10000</v>
      </c>
      <c r="AG53" s="1" t="str">
        <f t="shared" si="33"/>
        <v>Error!</v>
      </c>
      <c r="AH53" s="1">
        <f t="shared" si="27"/>
        <v>10000</v>
      </c>
    </row>
    <row r="54" spans="1:34" x14ac:dyDescent="0.25">
      <c r="A54" s="1"/>
      <c r="B54" s="1"/>
      <c r="C54" s="15">
        <v>244.5</v>
      </c>
      <c r="D54" s="15">
        <f t="shared" si="6"/>
        <v>24.45</v>
      </c>
      <c r="E54" s="13">
        <v>12.5</v>
      </c>
      <c r="F54" s="1" t="s">
        <v>128</v>
      </c>
      <c r="G54" s="13">
        <f t="shared" si="28"/>
        <v>1.25</v>
      </c>
      <c r="H54" s="13">
        <f t="shared" si="34"/>
        <v>16.600000000000001</v>
      </c>
      <c r="I54" s="13">
        <f t="shared" si="35"/>
        <v>89.2</v>
      </c>
      <c r="J54" s="13">
        <f t="shared" si="29"/>
        <v>24.45</v>
      </c>
      <c r="K54" s="13">
        <f t="shared" si="30"/>
        <v>1.25</v>
      </c>
      <c r="L54" s="13">
        <f>'TW-RBS وسط'!R20*'TW-RBS وسط'!R22*('TW-RBS وسط'!R19-'TW-RBS وسط'!R22)+(0.5*(G54^2)*('TW-RBS وسط'!R19-2*'TW-RBS وسط'!R22)^2)/(J54)</f>
        <v>2959.377719836401</v>
      </c>
      <c r="M54" s="1">
        <f t="shared" si="36"/>
        <v>0.39079350758384157</v>
      </c>
      <c r="N54" s="1">
        <f t="shared" si="37"/>
        <v>8.4969999999999999</v>
      </c>
      <c r="O54" s="1">
        <f t="shared" si="11"/>
        <v>1165.0025994003383</v>
      </c>
      <c r="P54" s="1">
        <f t="shared" si="38"/>
        <v>1130.355612993425</v>
      </c>
      <c r="Q54" s="1">
        <f t="shared" si="13"/>
        <v>10000</v>
      </c>
      <c r="R54" s="1">
        <f t="shared" si="14"/>
        <v>10000</v>
      </c>
      <c r="S54" s="1">
        <f t="shared" si="39"/>
        <v>0.16115196189024394</v>
      </c>
      <c r="T54" s="1">
        <f t="shared" si="16"/>
        <v>476.90952552591273</v>
      </c>
      <c r="U54" s="1">
        <f t="shared" si="40"/>
        <v>29</v>
      </c>
      <c r="V54" s="1">
        <f t="shared" si="18"/>
        <v>505.90952552591273</v>
      </c>
      <c r="W54" s="1">
        <f t="shared" si="41"/>
        <v>1.1374296435272047</v>
      </c>
      <c r="X54" s="1">
        <f t="shared" si="20"/>
        <v>575.4364912759562</v>
      </c>
      <c r="Y54" s="1">
        <f t="shared" si="42"/>
        <v>844.76444430000004</v>
      </c>
      <c r="Z54" s="1">
        <f t="shared" si="43"/>
        <v>998.95064516548348</v>
      </c>
      <c r="AA54" s="1">
        <f t="shared" si="31"/>
        <v>9989506.4516548347</v>
      </c>
      <c r="AB54" s="1">
        <f t="shared" si="23"/>
        <v>10000</v>
      </c>
      <c r="AC54" s="1">
        <f t="shared" si="24"/>
        <v>10000</v>
      </c>
      <c r="AD54" s="1">
        <f t="shared" si="32"/>
        <v>10000</v>
      </c>
      <c r="AE54" s="1">
        <f t="shared" si="25"/>
        <v>10000</v>
      </c>
      <c r="AF54" s="1">
        <f t="shared" si="26"/>
        <v>10000</v>
      </c>
      <c r="AG54" s="1" t="str">
        <f t="shared" si="33"/>
        <v>Error!</v>
      </c>
      <c r="AH54" s="1">
        <f t="shared" si="27"/>
        <v>10000</v>
      </c>
    </row>
    <row r="55" spans="1:34" x14ac:dyDescent="0.25">
      <c r="A55" s="1"/>
      <c r="B55" s="1"/>
      <c r="C55" s="15">
        <v>244.5</v>
      </c>
      <c r="D55" s="15">
        <f t="shared" si="6"/>
        <v>24.45</v>
      </c>
      <c r="E55" s="13">
        <v>16</v>
      </c>
      <c r="F55" s="1" t="s">
        <v>140</v>
      </c>
      <c r="G55" s="13">
        <f t="shared" si="28"/>
        <v>1.6</v>
      </c>
      <c r="H55" s="13">
        <f t="shared" si="34"/>
        <v>16.600000000000001</v>
      </c>
      <c r="I55" s="13">
        <f t="shared" si="35"/>
        <v>89.2</v>
      </c>
      <c r="J55" s="13">
        <f t="shared" si="29"/>
        <v>24.45</v>
      </c>
      <c r="K55" s="13">
        <f t="shared" si="30"/>
        <v>1.6</v>
      </c>
      <c r="L55" s="13">
        <f>'TW-RBS وسط'!R20*'TW-RBS وسط'!R22*('TW-RBS وسط'!R19-'TW-RBS وسط'!R22)+(0.5*(G55^2)*('TW-RBS وسط'!R19-2*'TW-RBS وسط'!R22)^2)/(J55)</f>
        <v>3021.0840081799593</v>
      </c>
      <c r="M55" s="1">
        <f t="shared" si="36"/>
        <v>0.39079350758384157</v>
      </c>
      <c r="N55" s="1">
        <f t="shared" si="37"/>
        <v>8.4969999999999999</v>
      </c>
      <c r="O55" s="1">
        <f t="shared" si="11"/>
        <v>1189.1170162620974</v>
      </c>
      <c r="P55" s="1">
        <f t="shared" si="38"/>
        <v>1130.355612993425</v>
      </c>
      <c r="Q55" s="1">
        <f t="shared" si="13"/>
        <v>10000</v>
      </c>
      <c r="R55" s="1">
        <f t="shared" si="14"/>
        <v>10000</v>
      </c>
      <c r="S55" s="1">
        <f t="shared" si="39"/>
        <v>0.16115196189024394</v>
      </c>
      <c r="T55" s="1">
        <f t="shared" si="16"/>
        <v>486.85361495344222</v>
      </c>
      <c r="U55" s="1">
        <f t="shared" si="40"/>
        <v>29</v>
      </c>
      <c r="V55" s="1">
        <f t="shared" si="18"/>
        <v>515.85361495344227</v>
      </c>
      <c r="W55" s="1">
        <f t="shared" si="41"/>
        <v>1.1374296435272047</v>
      </c>
      <c r="X55" s="1">
        <f t="shared" si="20"/>
        <v>586.74719336871374</v>
      </c>
      <c r="Y55" s="1">
        <f t="shared" si="42"/>
        <v>844.76444430000004</v>
      </c>
      <c r="Z55" s="1">
        <f t="shared" si="43"/>
        <v>998.95064516548348</v>
      </c>
      <c r="AA55" s="1">
        <f t="shared" si="31"/>
        <v>9989506.4516548347</v>
      </c>
      <c r="AB55" s="1">
        <f t="shared" si="23"/>
        <v>10000</v>
      </c>
      <c r="AC55" s="1">
        <f t="shared" si="24"/>
        <v>10000</v>
      </c>
      <c r="AD55" s="1">
        <f t="shared" si="32"/>
        <v>10000</v>
      </c>
      <c r="AE55" s="1">
        <f t="shared" si="25"/>
        <v>10000</v>
      </c>
      <c r="AF55" s="1">
        <f t="shared" si="26"/>
        <v>10000</v>
      </c>
      <c r="AG55" s="1" t="str">
        <f t="shared" si="33"/>
        <v>Error!</v>
      </c>
      <c r="AH55" s="1">
        <f t="shared" si="27"/>
        <v>10000</v>
      </c>
    </row>
    <row r="56" spans="1:34" x14ac:dyDescent="0.25">
      <c r="A56" s="1"/>
      <c r="B56" s="1"/>
      <c r="C56" s="15">
        <v>244.5</v>
      </c>
      <c r="D56" s="15">
        <f t="shared" si="6"/>
        <v>24.45</v>
      </c>
      <c r="E56" s="13">
        <v>20</v>
      </c>
      <c r="F56" s="1" t="s">
        <v>141</v>
      </c>
      <c r="G56" s="13">
        <f t="shared" si="28"/>
        <v>2</v>
      </c>
      <c r="H56" s="13">
        <f t="shared" si="34"/>
        <v>16.600000000000001</v>
      </c>
      <c r="I56" s="13">
        <f t="shared" si="35"/>
        <v>89.2</v>
      </c>
      <c r="J56" s="13">
        <f t="shared" si="29"/>
        <v>24.45</v>
      </c>
      <c r="K56" s="13">
        <f t="shared" si="30"/>
        <v>2</v>
      </c>
      <c r="L56" s="13">
        <f>'TW-RBS وسط'!R20*'TW-RBS وسط'!R22*('TW-RBS وسط'!R19-'TW-RBS وسط'!R22)+(0.5*(G56^2)*('TW-RBS وسط'!R19-2*'TW-RBS وسط'!R22)^2)/(J56)</f>
        <v>3110.1637627811865</v>
      </c>
      <c r="M56" s="1">
        <f t="shared" si="36"/>
        <v>0.39079350758384157</v>
      </c>
      <c r="N56" s="1">
        <f t="shared" si="37"/>
        <v>8.4969999999999999</v>
      </c>
      <c r="O56" s="1">
        <f t="shared" si="11"/>
        <v>1223.928806017419</v>
      </c>
      <c r="P56" s="1">
        <f t="shared" si="38"/>
        <v>1130.355612993425</v>
      </c>
      <c r="Q56" s="1">
        <f t="shared" si="13"/>
        <v>10000</v>
      </c>
      <c r="R56" s="1">
        <f t="shared" si="14"/>
        <v>10000</v>
      </c>
      <c r="S56" s="1">
        <f t="shared" si="39"/>
        <v>0.16115196189024394</v>
      </c>
      <c r="T56" s="1">
        <f t="shared" si="16"/>
        <v>501.2089921721315</v>
      </c>
      <c r="U56" s="1">
        <f t="shared" si="40"/>
        <v>29</v>
      </c>
      <c r="V56" s="1">
        <f t="shared" si="18"/>
        <v>530.2089921721315</v>
      </c>
      <c r="W56" s="1">
        <f t="shared" si="41"/>
        <v>1.1374296435272047</v>
      </c>
      <c r="X56" s="1">
        <f t="shared" si="20"/>
        <v>603.07542496126598</v>
      </c>
      <c r="Y56" s="1">
        <f t="shared" si="42"/>
        <v>844.76444430000004</v>
      </c>
      <c r="Z56" s="1">
        <f t="shared" si="43"/>
        <v>998.95064516548348</v>
      </c>
      <c r="AA56" s="1">
        <f t="shared" si="31"/>
        <v>9989506.4516548347</v>
      </c>
      <c r="AB56" s="1">
        <f t="shared" si="23"/>
        <v>10000</v>
      </c>
      <c r="AC56" s="1">
        <f t="shared" si="24"/>
        <v>10000</v>
      </c>
      <c r="AD56" s="1">
        <f t="shared" si="32"/>
        <v>10000</v>
      </c>
      <c r="AE56" s="1">
        <f t="shared" si="25"/>
        <v>10000</v>
      </c>
      <c r="AF56" s="1">
        <f t="shared" si="26"/>
        <v>10000</v>
      </c>
      <c r="AG56" s="1" t="str">
        <f t="shared" si="33"/>
        <v>Error!</v>
      </c>
      <c r="AH56" s="1">
        <f t="shared" si="27"/>
        <v>10000</v>
      </c>
    </row>
    <row r="57" spans="1:34" x14ac:dyDescent="0.25">
      <c r="A57" s="1"/>
      <c r="B57" s="1"/>
      <c r="C57" s="15">
        <v>244.5</v>
      </c>
      <c r="D57" s="15">
        <f t="shared" si="6"/>
        <v>24.45</v>
      </c>
      <c r="E57" s="13">
        <v>25</v>
      </c>
      <c r="F57" s="1" t="s">
        <v>142</v>
      </c>
      <c r="G57" s="13">
        <f t="shared" si="28"/>
        <v>2.5</v>
      </c>
      <c r="H57" s="13">
        <f t="shared" si="34"/>
        <v>16.600000000000001</v>
      </c>
      <c r="I57" s="13">
        <f t="shared" si="35"/>
        <v>89.2</v>
      </c>
      <c r="J57" s="13">
        <f t="shared" si="29"/>
        <v>24.45</v>
      </c>
      <c r="K57" s="13">
        <f t="shared" si="30"/>
        <v>2.5</v>
      </c>
      <c r="L57" s="13">
        <f>'TW-RBS وسط'!R20*'TW-RBS وسط'!R22*('TW-RBS وسط'!R19-'TW-RBS وسط'!R22)+(0.5*(G57^2)*('TW-RBS وسط'!R19-2*'TW-RBS وسط'!R22)^2)/(J57)</f>
        <v>3249.3508793456035</v>
      </c>
      <c r="M57" s="1">
        <f t="shared" si="36"/>
        <v>0.39079350758384157</v>
      </c>
      <c r="N57" s="1">
        <f t="shared" si="37"/>
        <v>8.4969999999999999</v>
      </c>
      <c r="O57" s="1">
        <f t="shared" si="11"/>
        <v>1278.3222275101084</v>
      </c>
      <c r="P57" s="1">
        <f t="shared" si="38"/>
        <v>1130.355612993425</v>
      </c>
      <c r="Q57" s="1">
        <f t="shared" si="13"/>
        <v>10000</v>
      </c>
      <c r="R57" s="1">
        <f t="shared" si="14"/>
        <v>10000</v>
      </c>
      <c r="S57" s="1">
        <f t="shared" si="39"/>
        <v>0.16115196189024394</v>
      </c>
      <c r="T57" s="1">
        <f t="shared" si="16"/>
        <v>523.63926907633333</v>
      </c>
      <c r="U57" s="1">
        <f t="shared" si="40"/>
        <v>29</v>
      </c>
      <c r="V57" s="1">
        <f t="shared" si="18"/>
        <v>552.63926907633333</v>
      </c>
      <c r="W57" s="1">
        <f t="shared" si="41"/>
        <v>1.1374296435272047</v>
      </c>
      <c r="X57" s="1">
        <f t="shared" si="20"/>
        <v>628.58828682462877</v>
      </c>
      <c r="Y57" s="1">
        <f t="shared" si="42"/>
        <v>844.76444430000004</v>
      </c>
      <c r="Z57" s="1">
        <f t="shared" si="43"/>
        <v>998.95064516548348</v>
      </c>
      <c r="AA57" s="1">
        <f t="shared" si="31"/>
        <v>9989506.4516548347</v>
      </c>
      <c r="AB57" s="1">
        <f t="shared" si="23"/>
        <v>10000</v>
      </c>
      <c r="AC57" s="1">
        <f t="shared" si="24"/>
        <v>10000</v>
      </c>
      <c r="AD57" s="1">
        <f t="shared" si="32"/>
        <v>10000</v>
      </c>
      <c r="AE57" s="1">
        <f t="shared" si="25"/>
        <v>10000</v>
      </c>
      <c r="AF57" s="1">
        <f t="shared" si="26"/>
        <v>10000</v>
      </c>
      <c r="AG57" s="1" t="str">
        <f t="shared" si="33"/>
        <v>Error!</v>
      </c>
      <c r="AH57" s="1">
        <f t="shared" si="27"/>
        <v>10000</v>
      </c>
    </row>
    <row r="58" spans="1:34" x14ac:dyDescent="0.25">
      <c r="A58" s="1"/>
      <c r="B58" s="1"/>
      <c r="C58" s="15">
        <v>273</v>
      </c>
      <c r="D58" s="15">
        <f t="shared" si="6"/>
        <v>27.3</v>
      </c>
      <c r="E58" s="13">
        <v>6.3</v>
      </c>
      <c r="F58" s="1" t="s">
        <v>129</v>
      </c>
      <c r="G58" s="13">
        <f t="shared" si="28"/>
        <v>0.63</v>
      </c>
      <c r="H58" s="13">
        <f t="shared" si="34"/>
        <v>16.600000000000001</v>
      </c>
      <c r="I58" s="13">
        <f t="shared" si="35"/>
        <v>89.2</v>
      </c>
      <c r="J58" s="13">
        <f t="shared" si="29"/>
        <v>27.3</v>
      </c>
      <c r="K58" s="13">
        <f t="shared" si="30"/>
        <v>0.63</v>
      </c>
      <c r="L58" s="13">
        <f>'TW-RBS وسط'!R20*'TW-RBS وسط'!R22*('TW-RBS وسط'!R19-'TW-RBS وسط'!R22)+(0.5*(G58^2)*('TW-RBS وسط'!R19-2*'TW-RBS وسط'!R22)^2)/(J58)</f>
        <v>2884.7094230769235</v>
      </c>
      <c r="M58" s="1">
        <f t="shared" si="36"/>
        <v>0.39079350758384157</v>
      </c>
      <c r="N58" s="1">
        <f t="shared" si="37"/>
        <v>8.4969999999999999</v>
      </c>
      <c r="O58" s="1">
        <f t="shared" si="11"/>
        <v>1135.822713804391</v>
      </c>
      <c r="P58" s="1">
        <f t="shared" si="38"/>
        <v>1130.355612993425</v>
      </c>
      <c r="Q58" s="1">
        <f t="shared" si="13"/>
        <v>10000</v>
      </c>
      <c r="R58" s="1">
        <f t="shared" si="14"/>
        <v>10000</v>
      </c>
      <c r="S58" s="1">
        <f t="shared" si="39"/>
        <v>0.16115196189024394</v>
      </c>
      <c r="T58" s="1">
        <f t="shared" si="16"/>
        <v>464.87658301211997</v>
      </c>
      <c r="U58" s="1">
        <f t="shared" si="40"/>
        <v>29</v>
      </c>
      <c r="V58" s="1">
        <f t="shared" si="18"/>
        <v>493.87658301211997</v>
      </c>
      <c r="W58" s="1">
        <f t="shared" si="41"/>
        <v>1.1374296435272047</v>
      </c>
      <c r="X58" s="1">
        <f t="shared" si="20"/>
        <v>561.74986576190952</v>
      </c>
      <c r="Y58" s="1">
        <f t="shared" si="42"/>
        <v>844.76444430000004</v>
      </c>
      <c r="Z58" s="1">
        <f t="shared" si="43"/>
        <v>998.95064516548348</v>
      </c>
      <c r="AA58" s="1">
        <f t="shared" si="31"/>
        <v>9989506.4516548347</v>
      </c>
      <c r="AB58" s="1">
        <f t="shared" si="23"/>
        <v>10000</v>
      </c>
      <c r="AC58" s="1">
        <f t="shared" si="24"/>
        <v>10000</v>
      </c>
      <c r="AD58" s="1">
        <f t="shared" si="32"/>
        <v>10000</v>
      </c>
      <c r="AE58" s="1">
        <f t="shared" si="25"/>
        <v>10000</v>
      </c>
      <c r="AF58" s="1">
        <f t="shared" si="26"/>
        <v>10000</v>
      </c>
      <c r="AG58" s="1" t="str">
        <f t="shared" si="33"/>
        <v>Error!</v>
      </c>
      <c r="AH58" s="1">
        <f t="shared" si="27"/>
        <v>10000</v>
      </c>
    </row>
    <row r="59" spans="1:34" x14ac:dyDescent="0.25">
      <c r="A59" s="1"/>
      <c r="B59" s="1"/>
      <c r="C59" s="15">
        <v>273</v>
      </c>
      <c r="D59" s="15">
        <f t="shared" si="6"/>
        <v>27.3</v>
      </c>
      <c r="E59" s="13">
        <v>8</v>
      </c>
      <c r="F59" s="1" t="s">
        <v>130</v>
      </c>
      <c r="G59" s="13">
        <f t="shared" si="28"/>
        <v>0.8</v>
      </c>
      <c r="H59" s="13">
        <f t="shared" si="34"/>
        <v>16.600000000000001</v>
      </c>
      <c r="I59" s="13">
        <f t="shared" si="35"/>
        <v>89.2</v>
      </c>
      <c r="J59" s="13">
        <f t="shared" si="29"/>
        <v>27.3</v>
      </c>
      <c r="K59" s="13">
        <f t="shared" si="30"/>
        <v>0.8</v>
      </c>
      <c r="L59" s="13">
        <f>'TW-RBS وسط'!R20*'TW-RBS وسط'!R22*('TW-RBS وسط'!R19-'TW-RBS وسط'!R22)+(0.5*(G59^2)*('TW-RBS وسط'!R19-2*'TW-RBS وسط'!R22)^2)/(J59)</f>
        <v>2898.1778754578759</v>
      </c>
      <c r="M59" s="1">
        <f t="shared" si="36"/>
        <v>0.39079350758384157</v>
      </c>
      <c r="N59" s="1">
        <f t="shared" si="37"/>
        <v>8.4969999999999999</v>
      </c>
      <c r="O59" s="1">
        <f t="shared" si="11"/>
        <v>1141.0860975520693</v>
      </c>
      <c r="P59" s="1">
        <f t="shared" si="38"/>
        <v>1130.355612993425</v>
      </c>
      <c r="Q59" s="1">
        <f t="shared" si="13"/>
        <v>10000</v>
      </c>
      <c r="R59" s="1">
        <f t="shared" si="14"/>
        <v>10000</v>
      </c>
      <c r="S59" s="1">
        <f t="shared" si="39"/>
        <v>0.16115196189024394</v>
      </c>
      <c r="T59" s="1">
        <f t="shared" si="16"/>
        <v>467.04705053693579</v>
      </c>
      <c r="U59" s="1">
        <f t="shared" si="40"/>
        <v>29</v>
      </c>
      <c r="V59" s="1">
        <f t="shared" si="18"/>
        <v>496.04705053693579</v>
      </c>
      <c r="W59" s="1">
        <f t="shared" si="41"/>
        <v>1.1374296435272047</v>
      </c>
      <c r="X59" s="1">
        <f t="shared" si="20"/>
        <v>564.2186198649481</v>
      </c>
      <c r="Y59" s="1">
        <f t="shared" si="42"/>
        <v>844.76444430000004</v>
      </c>
      <c r="Z59" s="1">
        <f t="shared" si="43"/>
        <v>998.95064516548348</v>
      </c>
      <c r="AA59" s="1">
        <f t="shared" si="31"/>
        <v>9989506.4516548347</v>
      </c>
      <c r="AB59" s="1">
        <f t="shared" si="23"/>
        <v>10000</v>
      </c>
      <c r="AC59" s="1">
        <f t="shared" si="24"/>
        <v>10000</v>
      </c>
      <c r="AD59" s="1">
        <f t="shared" si="32"/>
        <v>10000</v>
      </c>
      <c r="AE59" s="1">
        <f t="shared" si="25"/>
        <v>10000</v>
      </c>
      <c r="AF59" s="1">
        <f t="shared" si="26"/>
        <v>10000</v>
      </c>
      <c r="AG59" s="1" t="str">
        <f t="shared" si="33"/>
        <v>Error!</v>
      </c>
      <c r="AH59" s="1">
        <f t="shared" si="27"/>
        <v>10000</v>
      </c>
    </row>
    <row r="60" spans="1:34" x14ac:dyDescent="0.25">
      <c r="A60" s="1"/>
      <c r="B60" s="1"/>
      <c r="C60" s="15">
        <v>273</v>
      </c>
      <c r="D60" s="15">
        <f t="shared" si="6"/>
        <v>27.3</v>
      </c>
      <c r="E60" s="13">
        <v>10</v>
      </c>
      <c r="F60" s="1" t="s">
        <v>131</v>
      </c>
      <c r="G60" s="13">
        <f t="shared" si="28"/>
        <v>1</v>
      </c>
      <c r="H60" s="13">
        <f t="shared" si="34"/>
        <v>16.600000000000001</v>
      </c>
      <c r="I60" s="13">
        <f t="shared" si="35"/>
        <v>89.2</v>
      </c>
      <c r="J60" s="13">
        <f t="shared" si="29"/>
        <v>27.3</v>
      </c>
      <c r="K60" s="13">
        <f t="shared" si="30"/>
        <v>1</v>
      </c>
      <c r="L60" s="13">
        <f>'TW-RBS وسط'!R20*'TW-RBS وسط'!R22*('TW-RBS وسط'!R19-'TW-RBS وسط'!R22)+(0.5*(G60^2)*('TW-RBS وسط'!R19-2*'TW-RBS وسط'!R22)^2)/(J60)</f>
        <v>2918.1229304029307</v>
      </c>
      <c r="M60" s="1">
        <f t="shared" si="36"/>
        <v>0.39079350758384157</v>
      </c>
      <c r="N60" s="1">
        <f t="shared" si="37"/>
        <v>8.4969999999999999</v>
      </c>
      <c r="O60" s="1">
        <f t="shared" si="11"/>
        <v>1148.8804955329997</v>
      </c>
      <c r="P60" s="1">
        <f t="shared" si="38"/>
        <v>1130.355612993425</v>
      </c>
      <c r="Q60" s="1">
        <f t="shared" si="13"/>
        <v>10000</v>
      </c>
      <c r="R60" s="1">
        <f t="shared" si="14"/>
        <v>10000</v>
      </c>
      <c r="S60" s="1">
        <f t="shared" si="39"/>
        <v>0.16115196189024394</v>
      </c>
      <c r="T60" s="1">
        <f t="shared" si="16"/>
        <v>470.26123527134007</v>
      </c>
      <c r="U60" s="1">
        <f t="shared" si="40"/>
        <v>29</v>
      </c>
      <c r="V60" s="1">
        <f t="shared" si="18"/>
        <v>499.26123527134007</v>
      </c>
      <c r="W60" s="1">
        <f t="shared" si="41"/>
        <v>1.1374296435272047</v>
      </c>
      <c r="X60" s="1">
        <f t="shared" si="20"/>
        <v>567.87452886163214</v>
      </c>
      <c r="Y60" s="1">
        <f t="shared" si="42"/>
        <v>844.76444430000004</v>
      </c>
      <c r="Z60" s="1">
        <f t="shared" si="43"/>
        <v>998.95064516548348</v>
      </c>
      <c r="AA60" s="1">
        <f t="shared" si="31"/>
        <v>9989506.4516548347</v>
      </c>
      <c r="AB60" s="1">
        <f t="shared" si="23"/>
        <v>10000</v>
      </c>
      <c r="AC60" s="1">
        <f t="shared" si="24"/>
        <v>10000</v>
      </c>
      <c r="AD60" s="1">
        <f t="shared" si="32"/>
        <v>10000</v>
      </c>
      <c r="AE60" s="1">
        <f t="shared" si="25"/>
        <v>10000</v>
      </c>
      <c r="AF60" s="1">
        <f t="shared" si="26"/>
        <v>10000</v>
      </c>
      <c r="AG60" s="1" t="str">
        <f t="shared" si="33"/>
        <v>Error!</v>
      </c>
      <c r="AH60" s="1">
        <f t="shared" si="27"/>
        <v>10000</v>
      </c>
    </row>
    <row r="61" spans="1:34" x14ac:dyDescent="0.25">
      <c r="A61" s="1"/>
      <c r="B61" s="1"/>
      <c r="C61" s="15">
        <v>273</v>
      </c>
      <c r="D61" s="15">
        <f t="shared" si="6"/>
        <v>27.3</v>
      </c>
      <c r="E61" s="13">
        <v>12.5</v>
      </c>
      <c r="F61" s="1" t="s">
        <v>132</v>
      </c>
      <c r="G61" s="13">
        <f t="shared" si="28"/>
        <v>1.25</v>
      </c>
      <c r="H61" s="13">
        <f t="shared" si="34"/>
        <v>16.600000000000001</v>
      </c>
      <c r="I61" s="13">
        <f t="shared" si="35"/>
        <v>89.2</v>
      </c>
      <c r="J61" s="13">
        <f t="shared" si="29"/>
        <v>27.3</v>
      </c>
      <c r="K61" s="13">
        <f t="shared" si="30"/>
        <v>1.25</v>
      </c>
      <c r="L61" s="13">
        <f>'TW-RBS وسط'!R20*'TW-RBS وسط'!R22*('TW-RBS وسط'!R19-'TW-RBS وسط'!R22)+(0.5*(G61^2)*('TW-RBS وسط'!R19-2*'TW-RBS وسط'!R22)^2)/(J61)</f>
        <v>2949.2870787545789</v>
      </c>
      <c r="M61" s="1">
        <f t="shared" si="36"/>
        <v>0.39079350758384157</v>
      </c>
      <c r="N61" s="1">
        <f t="shared" si="37"/>
        <v>8.4969999999999999</v>
      </c>
      <c r="O61" s="1">
        <f t="shared" si="11"/>
        <v>1161.0592423782036</v>
      </c>
      <c r="P61" s="1">
        <f t="shared" si="38"/>
        <v>1130.355612993425</v>
      </c>
      <c r="Q61" s="1">
        <f t="shared" si="13"/>
        <v>10000</v>
      </c>
      <c r="R61" s="1">
        <f t="shared" si="14"/>
        <v>10000</v>
      </c>
      <c r="S61" s="1">
        <f t="shared" si="39"/>
        <v>0.16115196189024394</v>
      </c>
      <c r="T61" s="1">
        <f t="shared" si="16"/>
        <v>475.28339891884679</v>
      </c>
      <c r="U61" s="1">
        <f t="shared" si="40"/>
        <v>29</v>
      </c>
      <c r="V61" s="1">
        <f t="shared" si="18"/>
        <v>504.28339891884679</v>
      </c>
      <c r="W61" s="1">
        <f t="shared" si="41"/>
        <v>1.1374296435272047</v>
      </c>
      <c r="X61" s="1">
        <f t="shared" si="20"/>
        <v>573.58688666895102</v>
      </c>
      <c r="Y61" s="1">
        <f t="shared" si="42"/>
        <v>844.76444430000004</v>
      </c>
      <c r="Z61" s="1">
        <f t="shared" si="43"/>
        <v>998.95064516548348</v>
      </c>
      <c r="AA61" s="1">
        <f t="shared" si="31"/>
        <v>9989506.4516548347</v>
      </c>
      <c r="AB61" s="1">
        <f t="shared" si="23"/>
        <v>10000</v>
      </c>
      <c r="AC61" s="1">
        <f t="shared" si="24"/>
        <v>10000</v>
      </c>
      <c r="AD61" s="1">
        <f t="shared" si="32"/>
        <v>10000</v>
      </c>
      <c r="AE61" s="1">
        <f t="shared" si="25"/>
        <v>10000</v>
      </c>
      <c r="AF61" s="1">
        <f t="shared" si="26"/>
        <v>10000</v>
      </c>
      <c r="AG61" s="1" t="str">
        <f t="shared" si="33"/>
        <v>Error!</v>
      </c>
      <c r="AH61" s="1">
        <f t="shared" si="27"/>
        <v>10000</v>
      </c>
    </row>
    <row r="62" spans="1:34" x14ac:dyDescent="0.25">
      <c r="A62" s="1"/>
      <c r="B62" s="1"/>
      <c r="C62" s="15">
        <v>273</v>
      </c>
      <c r="D62" s="15">
        <f t="shared" si="6"/>
        <v>27.3</v>
      </c>
      <c r="E62" s="13">
        <v>16</v>
      </c>
      <c r="F62" s="1" t="s">
        <v>143</v>
      </c>
      <c r="G62" s="13">
        <f t="shared" si="28"/>
        <v>1.6</v>
      </c>
      <c r="H62" s="13">
        <f t="shared" si="34"/>
        <v>16.600000000000001</v>
      </c>
      <c r="I62" s="13">
        <f t="shared" si="35"/>
        <v>89.2</v>
      </c>
      <c r="J62" s="13">
        <f t="shared" si="29"/>
        <v>27.3</v>
      </c>
      <c r="K62" s="13">
        <f t="shared" si="30"/>
        <v>1.6</v>
      </c>
      <c r="L62" s="13">
        <f>'TW-RBS وسط'!R20*'TW-RBS وسط'!R22*('TW-RBS وسط'!R19-'TW-RBS وسط'!R22)+(0.5*(G62^2)*('TW-RBS وسط'!R19-2*'TW-RBS وسط'!R22)^2)/(J62)</f>
        <v>3004.5515018315023</v>
      </c>
      <c r="M62" s="1">
        <f t="shared" si="36"/>
        <v>0.39079350758384157</v>
      </c>
      <c r="N62" s="1">
        <f t="shared" si="37"/>
        <v>8.4969999999999999</v>
      </c>
      <c r="O62" s="1">
        <f t="shared" si="11"/>
        <v>1182.6562201170318</v>
      </c>
      <c r="P62" s="1">
        <f t="shared" si="38"/>
        <v>1130.355612993425</v>
      </c>
      <c r="Q62" s="1">
        <f t="shared" si="13"/>
        <v>10000</v>
      </c>
      <c r="R62" s="1">
        <f t="shared" si="14"/>
        <v>10000</v>
      </c>
      <c r="S62" s="1">
        <f t="shared" si="39"/>
        <v>0.16115196189024394</v>
      </c>
      <c r="T62" s="1">
        <f t="shared" si="16"/>
        <v>484.18936912042545</v>
      </c>
      <c r="U62" s="1">
        <f t="shared" si="40"/>
        <v>29</v>
      </c>
      <c r="V62" s="1">
        <f t="shared" si="18"/>
        <v>513.18936912042545</v>
      </c>
      <c r="W62" s="1">
        <f t="shared" si="41"/>
        <v>1.1374296435272047</v>
      </c>
      <c r="X62" s="1">
        <f t="shared" si="20"/>
        <v>583.71680118059658</v>
      </c>
      <c r="Y62" s="1">
        <f t="shared" si="42"/>
        <v>844.76444430000004</v>
      </c>
      <c r="Z62" s="1">
        <f t="shared" si="43"/>
        <v>998.95064516548348</v>
      </c>
      <c r="AA62" s="1">
        <f t="shared" si="31"/>
        <v>9989506.4516548347</v>
      </c>
      <c r="AB62" s="1">
        <f t="shared" si="23"/>
        <v>10000</v>
      </c>
      <c r="AC62" s="1">
        <f t="shared" si="24"/>
        <v>10000</v>
      </c>
      <c r="AD62" s="1">
        <f t="shared" si="32"/>
        <v>10000</v>
      </c>
      <c r="AE62" s="1">
        <f t="shared" si="25"/>
        <v>10000</v>
      </c>
      <c r="AF62" s="1">
        <f t="shared" si="26"/>
        <v>10000</v>
      </c>
      <c r="AG62" s="1" t="str">
        <f t="shared" si="33"/>
        <v>Error!</v>
      </c>
      <c r="AH62" s="1">
        <f t="shared" si="27"/>
        <v>10000</v>
      </c>
    </row>
    <row r="63" spans="1:34" x14ac:dyDescent="0.25">
      <c r="A63" s="1"/>
      <c r="B63" s="1"/>
      <c r="C63" s="15">
        <v>273</v>
      </c>
      <c r="D63" s="15">
        <f t="shared" si="6"/>
        <v>27.3</v>
      </c>
      <c r="E63" s="13">
        <v>20</v>
      </c>
      <c r="F63" s="1" t="s">
        <v>144</v>
      </c>
      <c r="G63" s="13">
        <f t="shared" si="28"/>
        <v>2</v>
      </c>
      <c r="H63" s="13">
        <f t="shared" si="34"/>
        <v>16.600000000000001</v>
      </c>
      <c r="I63" s="13">
        <f t="shared" si="35"/>
        <v>89.2</v>
      </c>
      <c r="J63" s="13">
        <f t="shared" si="29"/>
        <v>27.3</v>
      </c>
      <c r="K63" s="13">
        <f t="shared" si="30"/>
        <v>2</v>
      </c>
      <c r="L63" s="13">
        <f>'TW-RBS وسط'!R20*'TW-RBS وسط'!R22*('TW-RBS وسط'!R19-'TW-RBS وسط'!R22)+(0.5*(G63^2)*('TW-RBS وسط'!R19-2*'TW-RBS وسط'!R22)^2)/(J63)</f>
        <v>3084.3317216117221</v>
      </c>
      <c r="M63" s="1">
        <f t="shared" si="36"/>
        <v>0.39079350758384157</v>
      </c>
      <c r="N63" s="1">
        <f t="shared" si="37"/>
        <v>8.4969999999999999</v>
      </c>
      <c r="O63" s="1">
        <f t="shared" si="11"/>
        <v>1213.8338120407536</v>
      </c>
      <c r="P63" s="1">
        <f t="shared" si="38"/>
        <v>1130.355612993425</v>
      </c>
      <c r="Q63" s="1">
        <f t="shared" si="13"/>
        <v>10000</v>
      </c>
      <c r="R63" s="1">
        <f t="shared" si="14"/>
        <v>10000</v>
      </c>
      <c r="S63" s="1">
        <f t="shared" si="39"/>
        <v>0.16115196189024394</v>
      </c>
      <c r="T63" s="1">
        <f t="shared" si="16"/>
        <v>497.04610805804271</v>
      </c>
      <c r="U63" s="1">
        <f t="shared" si="40"/>
        <v>29</v>
      </c>
      <c r="V63" s="1">
        <f t="shared" si="18"/>
        <v>526.04610805804271</v>
      </c>
      <c r="W63" s="1">
        <f t="shared" si="41"/>
        <v>1.1374296435272047</v>
      </c>
      <c r="X63" s="1">
        <f t="shared" si="20"/>
        <v>598.34043716733288</v>
      </c>
      <c r="Y63" s="1">
        <f t="shared" si="42"/>
        <v>844.76444430000004</v>
      </c>
      <c r="Z63" s="1">
        <f t="shared" si="43"/>
        <v>998.95064516548348</v>
      </c>
      <c r="AA63" s="1">
        <f t="shared" si="31"/>
        <v>9989506.4516548347</v>
      </c>
      <c r="AB63" s="1">
        <f t="shared" si="23"/>
        <v>10000</v>
      </c>
      <c r="AC63" s="1">
        <f t="shared" si="24"/>
        <v>10000</v>
      </c>
      <c r="AD63" s="1">
        <f t="shared" si="32"/>
        <v>10000</v>
      </c>
      <c r="AE63" s="1">
        <f t="shared" si="25"/>
        <v>10000</v>
      </c>
      <c r="AF63" s="1">
        <f t="shared" si="26"/>
        <v>10000</v>
      </c>
      <c r="AG63" s="1" t="str">
        <f t="shared" si="33"/>
        <v>Error!</v>
      </c>
      <c r="AH63" s="1">
        <f t="shared" si="27"/>
        <v>10000</v>
      </c>
    </row>
    <row r="64" spans="1:34" x14ac:dyDescent="0.25">
      <c r="A64" s="1"/>
      <c r="B64" s="1"/>
      <c r="C64" s="15">
        <v>273</v>
      </c>
      <c r="D64" s="15">
        <f t="shared" si="6"/>
        <v>27.3</v>
      </c>
      <c r="E64" s="13">
        <v>25</v>
      </c>
      <c r="F64" s="1" t="s">
        <v>145</v>
      </c>
      <c r="G64" s="13">
        <f t="shared" si="28"/>
        <v>2.5</v>
      </c>
      <c r="H64" s="13">
        <f t="shared" si="34"/>
        <v>16.600000000000001</v>
      </c>
      <c r="I64" s="13">
        <f t="shared" si="35"/>
        <v>89.2</v>
      </c>
      <c r="J64" s="13">
        <f t="shared" si="29"/>
        <v>27.3</v>
      </c>
      <c r="K64" s="13">
        <f t="shared" si="30"/>
        <v>2.5</v>
      </c>
      <c r="L64" s="13">
        <f>'TW-RBS وسط'!R20*'TW-RBS وسط'!R22*('TW-RBS وسط'!R19-'TW-RBS وسط'!R22)+(0.5*(G64^2)*('TW-RBS وسط'!R19-2*'TW-RBS وسط'!R22)^2)/(J64)</f>
        <v>3208.9883150183155</v>
      </c>
      <c r="M64" s="1">
        <f t="shared" si="36"/>
        <v>0.39079350758384157</v>
      </c>
      <c r="N64" s="1">
        <f t="shared" si="37"/>
        <v>8.4969999999999999</v>
      </c>
      <c r="O64" s="1">
        <f t="shared" si="11"/>
        <v>1262.5487994215691</v>
      </c>
      <c r="P64" s="1">
        <f t="shared" si="38"/>
        <v>1130.355612993425</v>
      </c>
      <c r="Q64" s="1">
        <f t="shared" si="13"/>
        <v>10000</v>
      </c>
      <c r="R64" s="1">
        <f t="shared" si="14"/>
        <v>10000</v>
      </c>
      <c r="S64" s="1">
        <f t="shared" si="39"/>
        <v>0.16115196189024394</v>
      </c>
      <c r="T64" s="1">
        <f t="shared" si="16"/>
        <v>517.13476264806968</v>
      </c>
      <c r="U64" s="1">
        <f t="shared" si="40"/>
        <v>29</v>
      </c>
      <c r="V64" s="1">
        <f t="shared" si="18"/>
        <v>546.13476264806968</v>
      </c>
      <c r="W64" s="1">
        <f t="shared" si="41"/>
        <v>1.1374296435272047</v>
      </c>
      <c r="X64" s="1">
        <f t="shared" si="20"/>
        <v>621.1898683966084</v>
      </c>
      <c r="Y64" s="1">
        <f t="shared" si="42"/>
        <v>844.76444430000004</v>
      </c>
      <c r="Z64" s="1">
        <f t="shared" si="43"/>
        <v>998.95064516548348</v>
      </c>
      <c r="AA64" s="1">
        <f t="shared" si="31"/>
        <v>9989506.4516548347</v>
      </c>
      <c r="AB64" s="1">
        <f t="shared" si="23"/>
        <v>10000</v>
      </c>
      <c r="AC64" s="1">
        <f t="shared" si="24"/>
        <v>10000</v>
      </c>
      <c r="AD64" s="1">
        <f t="shared" si="32"/>
        <v>10000</v>
      </c>
      <c r="AE64" s="1">
        <f t="shared" si="25"/>
        <v>10000</v>
      </c>
      <c r="AF64" s="1">
        <f t="shared" si="26"/>
        <v>10000</v>
      </c>
      <c r="AG64" s="1" t="str">
        <f t="shared" si="33"/>
        <v>Error!</v>
      </c>
      <c r="AH64" s="1">
        <f t="shared" si="27"/>
        <v>10000</v>
      </c>
    </row>
    <row r="65" spans="1:34" x14ac:dyDescent="0.25">
      <c r="A65" s="1"/>
      <c r="B65" s="1"/>
      <c r="C65" s="15">
        <v>323.89999999999998</v>
      </c>
      <c r="D65" s="15">
        <f t="shared" si="6"/>
        <v>32.39</v>
      </c>
      <c r="E65" s="13">
        <v>8</v>
      </c>
      <c r="F65" s="1" t="s">
        <v>133</v>
      </c>
      <c r="G65" s="13">
        <f t="shared" si="28"/>
        <v>0.8</v>
      </c>
      <c r="H65" s="13">
        <f t="shared" si="34"/>
        <v>16.600000000000001</v>
      </c>
      <c r="I65" s="13">
        <f t="shared" si="35"/>
        <v>89.2</v>
      </c>
      <c r="J65" s="13">
        <f t="shared" si="29"/>
        <v>32.39</v>
      </c>
      <c r="K65" s="13">
        <f t="shared" si="30"/>
        <v>0.8</v>
      </c>
      <c r="L65" s="13">
        <f>'TW-RBS وسط'!R20*'TW-RBS وسط'!R22*('TW-RBS وسط'!R19-'TW-RBS وسط'!R22)+(0.5*(G65^2)*('TW-RBS وسط'!R19-2*'TW-RBS وسط'!R22)^2)/(J65)</f>
        <v>2892.6057672121028</v>
      </c>
      <c r="M65" s="1">
        <f t="shared" si="36"/>
        <v>0.39079350758384157</v>
      </c>
      <c r="N65" s="1">
        <f t="shared" si="37"/>
        <v>8.4969999999999999</v>
      </c>
      <c r="O65" s="1">
        <f t="shared" si="11"/>
        <v>1138.9085538260667</v>
      </c>
      <c r="P65" s="1">
        <f t="shared" si="38"/>
        <v>1130.355612993425</v>
      </c>
      <c r="Q65" s="1">
        <f t="shared" si="13"/>
        <v>10000</v>
      </c>
      <c r="R65" s="1">
        <f t="shared" si="14"/>
        <v>10000</v>
      </c>
      <c r="S65" s="1">
        <f t="shared" si="39"/>
        <v>0.16115196189024394</v>
      </c>
      <c r="T65" s="1">
        <f t="shared" si="16"/>
        <v>466.14909436126464</v>
      </c>
      <c r="U65" s="1">
        <f t="shared" si="40"/>
        <v>29</v>
      </c>
      <c r="V65" s="1">
        <f t="shared" si="18"/>
        <v>495.14909436126464</v>
      </c>
      <c r="W65" s="1">
        <f t="shared" si="41"/>
        <v>1.1374296435272047</v>
      </c>
      <c r="X65" s="1">
        <f t="shared" si="20"/>
        <v>563.19725789215147</v>
      </c>
      <c r="Y65" s="1">
        <f t="shared" si="42"/>
        <v>844.76444430000004</v>
      </c>
      <c r="Z65" s="1">
        <f t="shared" si="43"/>
        <v>998.95064516548348</v>
      </c>
      <c r="AA65" s="1">
        <f t="shared" si="31"/>
        <v>9989506.4516548347</v>
      </c>
      <c r="AB65" s="1">
        <f t="shared" si="23"/>
        <v>10000</v>
      </c>
      <c r="AC65" s="1">
        <f t="shared" si="24"/>
        <v>10000</v>
      </c>
      <c r="AD65" s="1">
        <f t="shared" si="32"/>
        <v>10000</v>
      </c>
      <c r="AE65" s="1">
        <f t="shared" si="25"/>
        <v>10000</v>
      </c>
      <c r="AF65" s="1">
        <f t="shared" si="26"/>
        <v>10000</v>
      </c>
      <c r="AG65" s="1" t="str">
        <f t="shared" si="33"/>
        <v>Error!</v>
      </c>
      <c r="AH65" s="1">
        <f t="shared" si="27"/>
        <v>10000</v>
      </c>
    </row>
    <row r="66" spans="1:34" x14ac:dyDescent="0.25">
      <c r="A66" s="1"/>
      <c r="B66" s="1"/>
      <c r="C66" s="15">
        <v>323.89999999999998</v>
      </c>
      <c r="D66" s="15">
        <f t="shared" si="6"/>
        <v>32.39</v>
      </c>
      <c r="E66" s="13">
        <v>10</v>
      </c>
      <c r="F66" s="1" t="s">
        <v>134</v>
      </c>
      <c r="G66" s="13">
        <f t="shared" ref="G66:G76" si="44">E66/10</f>
        <v>1</v>
      </c>
      <c r="H66" s="13">
        <f t="shared" si="34"/>
        <v>16.600000000000001</v>
      </c>
      <c r="I66" s="13">
        <f t="shared" si="35"/>
        <v>89.2</v>
      </c>
      <c r="J66" s="13">
        <f t="shared" ref="J66:J76" si="45">IF(D66&gt;I66,"Error",IF(D66&lt;H66,10000,D66))</f>
        <v>32.39</v>
      </c>
      <c r="K66" s="13">
        <f t="shared" ref="K66:K76" si="46">IF(D66&gt;I66,10000,IF(D66&lt;H66,10000,G66))</f>
        <v>1</v>
      </c>
      <c r="L66" s="13">
        <f>'TW-RBS وسط'!R20*'TW-RBS وسط'!R22*('TW-RBS وسط'!R19-'TW-RBS وسط'!R22)+(0.5*(G66^2)*('TW-RBS وسط'!R19-2*'TW-RBS وسط'!R22)^2)/(J66)</f>
        <v>2909.4165112689102</v>
      </c>
      <c r="M66" s="1">
        <f t="shared" si="36"/>
        <v>0.39079350758384157</v>
      </c>
      <c r="N66" s="1">
        <f t="shared" si="37"/>
        <v>8.4969999999999999</v>
      </c>
      <c r="O66" s="1">
        <f t="shared" si="11"/>
        <v>1145.4780834611208</v>
      </c>
      <c r="P66" s="1">
        <f t="shared" si="38"/>
        <v>1130.355612993425</v>
      </c>
      <c r="Q66" s="1">
        <f t="shared" si="13"/>
        <v>10000</v>
      </c>
      <c r="R66" s="1">
        <f t="shared" si="14"/>
        <v>10000</v>
      </c>
      <c r="S66" s="1">
        <f t="shared" si="39"/>
        <v>0.16115196189024394</v>
      </c>
      <c r="T66" s="1">
        <f t="shared" si="16"/>
        <v>468.85817874685392</v>
      </c>
      <c r="U66" s="1">
        <f t="shared" si="40"/>
        <v>29</v>
      </c>
      <c r="V66" s="1">
        <f t="shared" si="18"/>
        <v>497.85817874685392</v>
      </c>
      <c r="W66" s="1">
        <f t="shared" si="41"/>
        <v>1.1374296435272047</v>
      </c>
      <c r="X66" s="1">
        <f t="shared" si="20"/>
        <v>566.27865077913737</v>
      </c>
      <c r="Y66" s="1">
        <f t="shared" si="42"/>
        <v>844.76444430000004</v>
      </c>
      <c r="Z66" s="1">
        <f t="shared" si="43"/>
        <v>998.95064516548348</v>
      </c>
      <c r="AA66" s="1">
        <f t="shared" ref="AA66:AA76" si="47">Z66*R66</f>
        <v>9989506.4516548347</v>
      </c>
      <c r="AB66" s="1">
        <f t="shared" si="23"/>
        <v>10000</v>
      </c>
      <c r="AC66" s="1">
        <f t="shared" si="24"/>
        <v>10000</v>
      </c>
      <c r="AD66" s="1">
        <f t="shared" ref="AD66:AD76" si="48">IF(V66&gt;0.9*AA66,10000,R66)</f>
        <v>10000</v>
      </c>
      <c r="AE66" s="1">
        <f t="shared" si="25"/>
        <v>10000</v>
      </c>
      <c r="AF66" s="1">
        <f t="shared" si="26"/>
        <v>10000</v>
      </c>
      <c r="AG66" s="1" t="str">
        <f t="shared" ref="AG66:AG76" si="49">IF(MAX(AH66,AF66)=10000,"Error!",F66)</f>
        <v>Error!</v>
      </c>
      <c r="AH66" s="1">
        <f t="shared" si="27"/>
        <v>10000</v>
      </c>
    </row>
    <row r="67" spans="1:34" x14ac:dyDescent="0.25">
      <c r="A67" s="1"/>
      <c r="B67" s="1"/>
      <c r="C67" s="15">
        <v>323.89999999999998</v>
      </c>
      <c r="D67" s="15">
        <f t="shared" ref="D67:D76" si="50">C67/10</f>
        <v>32.39</v>
      </c>
      <c r="E67" s="13">
        <v>12.5</v>
      </c>
      <c r="F67" s="1" t="s">
        <v>135</v>
      </c>
      <c r="G67" s="13">
        <f t="shared" si="44"/>
        <v>1.25</v>
      </c>
      <c r="H67" s="13">
        <f t="shared" ref="H67:H76" si="51">$H$2</f>
        <v>16.600000000000001</v>
      </c>
      <c r="I67" s="13">
        <f t="shared" ref="I67:I76" si="52">$I$2</f>
        <v>89.2</v>
      </c>
      <c r="J67" s="13">
        <f t="shared" si="45"/>
        <v>32.39</v>
      </c>
      <c r="K67" s="13">
        <f t="shared" si="46"/>
        <v>1.25</v>
      </c>
      <c r="L67" s="13">
        <f>'TW-RBS وسط'!R20*'TW-RBS وسط'!R22*('TW-RBS وسط'!R19-'TW-RBS وسط'!R22)+(0.5*(G67^2)*('TW-RBS وسط'!R19-2*'TW-RBS وسط'!R22)^2)/(J67)</f>
        <v>2935.6832988576725</v>
      </c>
      <c r="M67" s="1">
        <f t="shared" ref="M67:M76" si="53">$M$2</f>
        <v>0.39079350758384157</v>
      </c>
      <c r="N67" s="1">
        <f t="shared" ref="N67:N76" si="54">$N$2</f>
        <v>8.4969999999999999</v>
      </c>
      <c r="O67" s="1">
        <f t="shared" ref="O67:O76" si="55">M67*L67+N67</f>
        <v>1155.742973515893</v>
      </c>
      <c r="P67" s="1">
        <f t="shared" ref="P67:P76" si="56">$P$2</f>
        <v>1130.355612993425</v>
      </c>
      <c r="Q67" s="1">
        <f t="shared" ref="Q67:Q76" si="57">IF(O67&gt;P67,10000,J67)</f>
        <v>10000</v>
      </c>
      <c r="R67" s="1">
        <f t="shared" ref="R67:R76" si="58">IF(O67&gt;P67,10000,K67)</f>
        <v>10000</v>
      </c>
      <c r="S67" s="1">
        <f t="shared" ref="S67:S76" si="59">$S$2</f>
        <v>0.16115196189024394</v>
      </c>
      <c r="T67" s="1">
        <f t="shared" ref="T67:T76" si="60">S67*L67</f>
        <v>473.09112309933727</v>
      </c>
      <c r="U67" s="1">
        <f t="shared" ref="U67:U76" si="61">$U$2</f>
        <v>29</v>
      </c>
      <c r="V67" s="1">
        <f t="shared" ref="V67:V76" si="62">U67+T67</f>
        <v>502.09112309933727</v>
      </c>
      <c r="W67" s="1">
        <f t="shared" ref="W67:W76" si="63">$W$2</f>
        <v>1.1374296435272047</v>
      </c>
      <c r="X67" s="1">
        <f t="shared" ref="X67:X76" si="64">V67*W67</f>
        <v>571.09332716505298</v>
      </c>
      <c r="Y67" s="1">
        <f t="shared" ref="Y67:Y76" si="65">$Y$2</f>
        <v>844.76444430000004</v>
      </c>
      <c r="Z67" s="1">
        <f t="shared" ref="Z67:Z76" si="66">$Z$2</f>
        <v>998.95064516548348</v>
      </c>
      <c r="AA67" s="1">
        <f t="shared" si="47"/>
        <v>9989506.4516548347</v>
      </c>
      <c r="AB67" s="1">
        <f t="shared" ref="AB67:AB76" si="67">IF(V67&gt;0.9*AA67,10000,Q67)</f>
        <v>10000</v>
      </c>
      <c r="AC67" s="1">
        <f t="shared" ref="AC67:AC76" si="68">IF(X67&gt;0.9*Y67,10000,AB67)</f>
        <v>10000</v>
      </c>
      <c r="AD67" s="1">
        <f t="shared" si="48"/>
        <v>10000</v>
      </c>
      <c r="AE67" s="1">
        <f t="shared" ref="AE67:AE76" si="69">IF(X67&gt;0.9*Y67,10000,AD67)</f>
        <v>10000</v>
      </c>
      <c r="AF67" s="1">
        <f t="shared" ref="AF67:AF76" si="70">MAX(AC67,AB67)</f>
        <v>10000</v>
      </c>
      <c r="AG67" s="1" t="str">
        <f t="shared" si="49"/>
        <v>Error!</v>
      </c>
      <c r="AH67" s="1">
        <f t="shared" ref="AH67:AH76" si="71">MAX(AE67,AD67)</f>
        <v>10000</v>
      </c>
    </row>
    <row r="68" spans="1:34" x14ac:dyDescent="0.25">
      <c r="A68" s="1"/>
      <c r="B68" s="1"/>
      <c r="C68" s="15">
        <v>323.89999999999998</v>
      </c>
      <c r="D68" s="15">
        <f t="shared" si="50"/>
        <v>32.39</v>
      </c>
      <c r="E68" s="13">
        <v>16</v>
      </c>
      <c r="F68" s="1" t="s">
        <v>147</v>
      </c>
      <c r="G68" s="13">
        <f t="shared" si="44"/>
        <v>1.6</v>
      </c>
      <c r="H68" s="13">
        <f t="shared" si="51"/>
        <v>16.600000000000001</v>
      </c>
      <c r="I68" s="13">
        <f t="shared" si="52"/>
        <v>89.2</v>
      </c>
      <c r="J68" s="13">
        <f t="shared" si="45"/>
        <v>32.39</v>
      </c>
      <c r="K68" s="13">
        <f t="shared" si="46"/>
        <v>1.6</v>
      </c>
      <c r="L68" s="13">
        <f>'TW-RBS وسط'!R20*'TW-RBS وسط'!R22*('TW-RBS وسط'!R19-'TW-RBS وسط'!R22)+(0.5*(G68^2)*('TW-RBS وسط'!R19-2*'TW-RBS وسط'!R22)^2)/(J68)</f>
        <v>2982.2630688484105</v>
      </c>
      <c r="M68" s="1">
        <f t="shared" si="53"/>
        <v>0.39079350758384157</v>
      </c>
      <c r="N68" s="1">
        <f t="shared" si="54"/>
        <v>8.4969999999999999</v>
      </c>
      <c r="O68" s="1">
        <f t="shared" si="55"/>
        <v>1173.946045213022</v>
      </c>
      <c r="P68" s="1">
        <f t="shared" si="56"/>
        <v>1130.355612993425</v>
      </c>
      <c r="Q68" s="1">
        <f t="shared" si="57"/>
        <v>10000</v>
      </c>
      <c r="R68" s="1">
        <f t="shared" si="58"/>
        <v>10000</v>
      </c>
      <c r="S68" s="1">
        <f t="shared" si="59"/>
        <v>0.16115196189024394</v>
      </c>
      <c r="T68" s="1">
        <f t="shared" si="60"/>
        <v>480.59754441774101</v>
      </c>
      <c r="U68" s="1">
        <f t="shared" si="61"/>
        <v>29</v>
      </c>
      <c r="V68" s="1">
        <f t="shared" si="62"/>
        <v>509.59754441774101</v>
      </c>
      <c r="W68" s="1">
        <f t="shared" si="63"/>
        <v>1.1374296435272047</v>
      </c>
      <c r="X68" s="1">
        <f t="shared" si="64"/>
        <v>579.63135328940996</v>
      </c>
      <c r="Y68" s="1">
        <f t="shared" si="65"/>
        <v>844.76444430000004</v>
      </c>
      <c r="Z68" s="1">
        <f t="shared" si="66"/>
        <v>998.95064516548348</v>
      </c>
      <c r="AA68" s="1">
        <f t="shared" si="47"/>
        <v>9989506.4516548347</v>
      </c>
      <c r="AB68" s="1">
        <f t="shared" si="67"/>
        <v>10000</v>
      </c>
      <c r="AC68" s="1">
        <f t="shared" si="68"/>
        <v>10000</v>
      </c>
      <c r="AD68" s="1">
        <f t="shared" si="48"/>
        <v>10000</v>
      </c>
      <c r="AE68" s="1">
        <f t="shared" si="69"/>
        <v>10000</v>
      </c>
      <c r="AF68" s="1">
        <f t="shared" si="70"/>
        <v>10000</v>
      </c>
      <c r="AG68" s="1" t="str">
        <f t="shared" si="49"/>
        <v>Error!</v>
      </c>
      <c r="AH68" s="1">
        <f t="shared" si="71"/>
        <v>10000</v>
      </c>
    </row>
    <row r="69" spans="1:34" x14ac:dyDescent="0.25">
      <c r="A69" s="1"/>
      <c r="B69" s="1"/>
      <c r="C69" s="15">
        <v>323.89999999999998</v>
      </c>
      <c r="D69" s="15">
        <f t="shared" si="50"/>
        <v>32.39</v>
      </c>
      <c r="E69" s="13">
        <v>20</v>
      </c>
      <c r="F69" s="1" t="s">
        <v>146</v>
      </c>
      <c r="G69" s="13">
        <f t="shared" si="44"/>
        <v>2</v>
      </c>
      <c r="H69" s="13">
        <f t="shared" si="51"/>
        <v>16.600000000000001</v>
      </c>
      <c r="I69" s="13">
        <f t="shared" si="52"/>
        <v>89.2</v>
      </c>
      <c r="J69" s="13">
        <f t="shared" si="45"/>
        <v>32.39</v>
      </c>
      <c r="K69" s="13">
        <f t="shared" si="46"/>
        <v>2</v>
      </c>
      <c r="L69" s="13">
        <f>'TW-RBS وسط'!R20*'TW-RBS وسط'!R22*('TW-RBS وسط'!R19-'TW-RBS وسط'!R22)+(0.5*(G69^2)*('TW-RBS وسط'!R19-2*'TW-RBS وسط'!R22)^2)/(J69)</f>
        <v>3049.5060450756409</v>
      </c>
      <c r="M69" s="1">
        <f t="shared" si="53"/>
        <v>0.39079350758384157</v>
      </c>
      <c r="N69" s="1">
        <f t="shared" si="54"/>
        <v>8.4969999999999999</v>
      </c>
      <c r="O69" s="1">
        <f t="shared" si="55"/>
        <v>1200.2241637532384</v>
      </c>
      <c r="P69" s="1">
        <f t="shared" si="56"/>
        <v>1130.355612993425</v>
      </c>
      <c r="Q69" s="1">
        <f t="shared" si="57"/>
        <v>10000</v>
      </c>
      <c r="R69" s="1">
        <f t="shared" si="58"/>
        <v>10000</v>
      </c>
      <c r="S69" s="1">
        <f t="shared" si="59"/>
        <v>0.16115196189024394</v>
      </c>
      <c r="T69" s="1">
        <f t="shared" si="60"/>
        <v>491.43388196009823</v>
      </c>
      <c r="U69" s="1">
        <f t="shared" si="61"/>
        <v>29</v>
      </c>
      <c r="V69" s="1">
        <f t="shared" si="62"/>
        <v>520.43388196009823</v>
      </c>
      <c r="W69" s="1">
        <f t="shared" si="63"/>
        <v>1.1374296435272047</v>
      </c>
      <c r="X69" s="1">
        <f t="shared" si="64"/>
        <v>591.95692483735388</v>
      </c>
      <c r="Y69" s="1">
        <f t="shared" si="65"/>
        <v>844.76444430000004</v>
      </c>
      <c r="Z69" s="1">
        <f t="shared" si="66"/>
        <v>998.95064516548348</v>
      </c>
      <c r="AA69" s="1">
        <f t="shared" si="47"/>
        <v>9989506.4516548347</v>
      </c>
      <c r="AB69" s="1">
        <f t="shared" si="67"/>
        <v>10000</v>
      </c>
      <c r="AC69" s="1">
        <f t="shared" si="68"/>
        <v>10000</v>
      </c>
      <c r="AD69" s="1">
        <f t="shared" si="48"/>
        <v>10000</v>
      </c>
      <c r="AE69" s="1">
        <f t="shared" si="69"/>
        <v>10000</v>
      </c>
      <c r="AF69" s="1">
        <f t="shared" si="70"/>
        <v>10000</v>
      </c>
      <c r="AG69" s="1" t="str">
        <f t="shared" si="49"/>
        <v>Error!</v>
      </c>
      <c r="AH69" s="1">
        <f t="shared" si="71"/>
        <v>10000</v>
      </c>
    </row>
    <row r="70" spans="1:34" x14ac:dyDescent="0.25">
      <c r="A70" s="1"/>
      <c r="B70" s="1"/>
      <c r="C70" s="15">
        <v>323.89999999999998</v>
      </c>
      <c r="D70" s="15">
        <f t="shared" si="50"/>
        <v>32.39</v>
      </c>
      <c r="E70" s="13">
        <v>25</v>
      </c>
      <c r="F70" s="1" t="s">
        <v>148</v>
      </c>
      <c r="G70" s="13">
        <f t="shared" si="44"/>
        <v>2.5</v>
      </c>
      <c r="H70" s="13">
        <f t="shared" si="51"/>
        <v>16.600000000000001</v>
      </c>
      <c r="I70" s="13">
        <f t="shared" si="52"/>
        <v>89.2</v>
      </c>
      <c r="J70" s="13">
        <f t="shared" si="45"/>
        <v>32.39</v>
      </c>
      <c r="K70" s="13">
        <f t="shared" si="46"/>
        <v>2.5</v>
      </c>
      <c r="L70" s="13">
        <f>'TW-RBS وسط'!R20*'TW-RBS وسط'!R22*('TW-RBS وسط'!R19-'TW-RBS وسط'!R22)+(0.5*(G70^2)*('TW-RBS وسط'!R19-2*'TW-RBS وسط'!R22)^2)/(J70)</f>
        <v>3154.5731954306889</v>
      </c>
      <c r="M70" s="1">
        <f t="shared" si="53"/>
        <v>0.39079350758384157</v>
      </c>
      <c r="N70" s="1">
        <f t="shared" si="54"/>
        <v>8.4969999999999999</v>
      </c>
      <c r="O70" s="1">
        <f t="shared" si="55"/>
        <v>1241.2837239723262</v>
      </c>
      <c r="P70" s="1">
        <f t="shared" si="56"/>
        <v>1130.355612993425</v>
      </c>
      <c r="Q70" s="1">
        <f t="shared" si="57"/>
        <v>10000</v>
      </c>
      <c r="R70" s="1">
        <f t="shared" si="58"/>
        <v>10000</v>
      </c>
      <c r="S70" s="1">
        <f t="shared" si="59"/>
        <v>0.16115196189024394</v>
      </c>
      <c r="T70" s="1">
        <f t="shared" si="60"/>
        <v>508.36565937003144</v>
      </c>
      <c r="U70" s="1">
        <f t="shared" si="61"/>
        <v>29</v>
      </c>
      <c r="V70" s="1">
        <f t="shared" si="62"/>
        <v>537.36565937003138</v>
      </c>
      <c r="W70" s="1">
        <f t="shared" si="63"/>
        <v>1.1374296435272047</v>
      </c>
      <c r="X70" s="1">
        <f t="shared" si="64"/>
        <v>611.21563038101613</v>
      </c>
      <c r="Y70" s="1">
        <f t="shared" si="65"/>
        <v>844.76444430000004</v>
      </c>
      <c r="Z70" s="1">
        <f t="shared" si="66"/>
        <v>998.95064516548348</v>
      </c>
      <c r="AA70" s="1">
        <f t="shared" si="47"/>
        <v>9989506.4516548347</v>
      </c>
      <c r="AB70" s="1">
        <f t="shared" si="67"/>
        <v>10000</v>
      </c>
      <c r="AC70" s="1">
        <f t="shared" si="68"/>
        <v>10000</v>
      </c>
      <c r="AD70" s="1">
        <f t="shared" si="48"/>
        <v>10000</v>
      </c>
      <c r="AE70" s="1">
        <f t="shared" si="69"/>
        <v>10000</v>
      </c>
      <c r="AF70" s="1">
        <f t="shared" si="70"/>
        <v>10000</v>
      </c>
      <c r="AG70" s="1" t="str">
        <f t="shared" si="49"/>
        <v>Error!</v>
      </c>
      <c r="AH70" s="1">
        <f t="shared" si="71"/>
        <v>10000</v>
      </c>
    </row>
    <row r="71" spans="1:34" x14ac:dyDescent="0.25">
      <c r="A71" s="1"/>
      <c r="B71" s="1"/>
      <c r="C71" s="15">
        <v>355.6</v>
      </c>
      <c r="D71" s="15">
        <f t="shared" si="50"/>
        <v>35.56</v>
      </c>
      <c r="E71" s="13">
        <v>8</v>
      </c>
      <c r="F71" s="1" t="s">
        <v>136</v>
      </c>
      <c r="G71" s="13">
        <f t="shared" si="44"/>
        <v>0.8</v>
      </c>
      <c r="H71" s="13">
        <f t="shared" si="51"/>
        <v>16.600000000000001</v>
      </c>
      <c r="I71" s="13">
        <f t="shared" si="52"/>
        <v>89.2</v>
      </c>
      <c r="J71" s="13">
        <f t="shared" si="45"/>
        <v>35.56</v>
      </c>
      <c r="K71" s="13">
        <f t="shared" si="46"/>
        <v>0.8</v>
      </c>
      <c r="L71" s="13">
        <f>'TW-RBS وسط'!R20*'TW-RBS وسط'!R22*('TW-RBS وسط'!R19-'TW-RBS وسط'!R22)+(0.5*(G71^2)*('TW-RBS وسط'!R19-2*'TW-RBS وسط'!R22)^2)/(J71)</f>
        <v>2889.9415973003379</v>
      </c>
      <c r="M71" s="1">
        <f t="shared" si="53"/>
        <v>0.39079350758384157</v>
      </c>
      <c r="N71" s="1">
        <f t="shared" si="54"/>
        <v>8.4969999999999999</v>
      </c>
      <c r="O71" s="1">
        <f t="shared" si="55"/>
        <v>1137.867413521449</v>
      </c>
      <c r="P71" s="1">
        <f t="shared" si="56"/>
        <v>1130.355612993425</v>
      </c>
      <c r="Q71" s="1">
        <f t="shared" si="57"/>
        <v>10000</v>
      </c>
      <c r="R71" s="1">
        <f t="shared" si="58"/>
        <v>10000</v>
      </c>
      <c r="S71" s="1">
        <f t="shared" si="59"/>
        <v>0.16115196189024394</v>
      </c>
      <c r="T71" s="1">
        <f t="shared" si="60"/>
        <v>465.71975815317478</v>
      </c>
      <c r="U71" s="1">
        <f t="shared" si="61"/>
        <v>29</v>
      </c>
      <c r="V71" s="1">
        <f t="shared" si="62"/>
        <v>494.71975815317478</v>
      </c>
      <c r="W71" s="1">
        <f t="shared" si="63"/>
        <v>1.1374296435272047</v>
      </c>
      <c r="X71" s="1">
        <f t="shared" si="64"/>
        <v>562.7089181620305</v>
      </c>
      <c r="Y71" s="1">
        <f t="shared" si="65"/>
        <v>844.76444430000004</v>
      </c>
      <c r="Z71" s="1">
        <f t="shared" si="66"/>
        <v>998.95064516548348</v>
      </c>
      <c r="AA71" s="1">
        <f t="shared" si="47"/>
        <v>9989506.4516548347</v>
      </c>
      <c r="AB71" s="1">
        <f t="shared" si="67"/>
        <v>10000</v>
      </c>
      <c r="AC71" s="1">
        <f t="shared" si="68"/>
        <v>10000</v>
      </c>
      <c r="AD71" s="1">
        <f t="shared" si="48"/>
        <v>10000</v>
      </c>
      <c r="AE71" s="1">
        <f t="shared" si="69"/>
        <v>10000</v>
      </c>
      <c r="AF71" s="1">
        <f t="shared" si="70"/>
        <v>10000</v>
      </c>
      <c r="AG71" s="1" t="str">
        <f t="shared" si="49"/>
        <v>Error!</v>
      </c>
      <c r="AH71" s="1">
        <f t="shared" si="71"/>
        <v>10000</v>
      </c>
    </row>
    <row r="72" spans="1:34" x14ac:dyDescent="0.25">
      <c r="A72" s="1"/>
      <c r="B72" s="1"/>
      <c r="C72" s="15">
        <v>355.6</v>
      </c>
      <c r="D72" s="15">
        <f t="shared" si="50"/>
        <v>35.56</v>
      </c>
      <c r="E72" s="13">
        <v>10</v>
      </c>
      <c r="F72" s="1" t="s">
        <v>137</v>
      </c>
      <c r="G72" s="13">
        <f t="shared" si="44"/>
        <v>1</v>
      </c>
      <c r="H72" s="13">
        <f t="shared" si="51"/>
        <v>16.600000000000001</v>
      </c>
      <c r="I72" s="13">
        <f t="shared" si="52"/>
        <v>89.2</v>
      </c>
      <c r="J72" s="13">
        <f t="shared" si="45"/>
        <v>35.56</v>
      </c>
      <c r="K72" s="13">
        <f t="shared" si="46"/>
        <v>1</v>
      </c>
      <c r="L72" s="13">
        <f>'TW-RBS وسط'!R20*'TW-RBS وسط'!R22*('TW-RBS وسط'!R19-'TW-RBS وسط'!R22)+(0.5*(G72^2)*('TW-RBS وسط'!R19-2*'TW-RBS وسط'!R22)^2)/(J72)</f>
        <v>2905.2537457817775</v>
      </c>
      <c r="M72" s="1">
        <f t="shared" si="53"/>
        <v>0.39079350758384157</v>
      </c>
      <c r="N72" s="1">
        <f t="shared" si="54"/>
        <v>8.4969999999999999</v>
      </c>
      <c r="O72" s="1">
        <f t="shared" si="55"/>
        <v>1143.8513017351552</v>
      </c>
      <c r="P72" s="1">
        <f t="shared" si="56"/>
        <v>1130.355612993425</v>
      </c>
      <c r="Q72" s="1">
        <f t="shared" si="57"/>
        <v>10000</v>
      </c>
      <c r="R72" s="1">
        <f t="shared" si="58"/>
        <v>10000</v>
      </c>
      <c r="S72" s="1">
        <f t="shared" si="59"/>
        <v>0.16115196189024394</v>
      </c>
      <c r="T72" s="1">
        <f t="shared" si="60"/>
        <v>468.18734092171348</v>
      </c>
      <c r="U72" s="1">
        <f t="shared" si="61"/>
        <v>29</v>
      </c>
      <c r="V72" s="1">
        <f t="shared" si="62"/>
        <v>497.18734092171348</v>
      </c>
      <c r="W72" s="1">
        <f t="shared" si="63"/>
        <v>1.1374296435272047</v>
      </c>
      <c r="X72" s="1">
        <f t="shared" si="64"/>
        <v>565.51561995082329</v>
      </c>
      <c r="Y72" s="1">
        <f t="shared" si="65"/>
        <v>844.76444430000004</v>
      </c>
      <c r="Z72" s="1">
        <f t="shared" si="66"/>
        <v>998.95064516548348</v>
      </c>
      <c r="AA72" s="1">
        <f t="shared" si="47"/>
        <v>9989506.4516548347</v>
      </c>
      <c r="AB72" s="1">
        <f t="shared" si="67"/>
        <v>10000</v>
      </c>
      <c r="AC72" s="1">
        <f t="shared" si="68"/>
        <v>10000</v>
      </c>
      <c r="AD72" s="1">
        <f t="shared" si="48"/>
        <v>10000</v>
      </c>
      <c r="AE72" s="1">
        <f t="shared" si="69"/>
        <v>10000</v>
      </c>
      <c r="AF72" s="1">
        <f t="shared" si="70"/>
        <v>10000</v>
      </c>
      <c r="AG72" s="1" t="str">
        <f t="shared" si="49"/>
        <v>Error!</v>
      </c>
      <c r="AH72" s="1">
        <f t="shared" si="71"/>
        <v>10000</v>
      </c>
    </row>
    <row r="73" spans="1:34" x14ac:dyDescent="0.25">
      <c r="A73" s="1"/>
      <c r="B73" s="1"/>
      <c r="C73" s="15">
        <v>355.6</v>
      </c>
      <c r="D73" s="15">
        <f t="shared" si="50"/>
        <v>35.56</v>
      </c>
      <c r="E73" s="13">
        <v>12.5</v>
      </c>
      <c r="F73" s="1" t="s">
        <v>138</v>
      </c>
      <c r="G73" s="13">
        <f t="shared" si="44"/>
        <v>1.25</v>
      </c>
      <c r="H73" s="13">
        <f t="shared" si="51"/>
        <v>16.600000000000001</v>
      </c>
      <c r="I73" s="13">
        <f t="shared" si="52"/>
        <v>89.2</v>
      </c>
      <c r="J73" s="13">
        <f t="shared" si="45"/>
        <v>35.56</v>
      </c>
      <c r="K73" s="13">
        <f t="shared" si="46"/>
        <v>1.25</v>
      </c>
      <c r="L73" s="13">
        <f>'TW-RBS وسط'!R20*'TW-RBS وسط'!R22*('TW-RBS وسط'!R19-'TW-RBS وسط'!R22)+(0.5*(G73^2)*('TW-RBS وسط'!R19-2*'TW-RBS وسط'!R22)^2)/(J73)</f>
        <v>2929.1789777840272</v>
      </c>
      <c r="M73" s="1">
        <f t="shared" si="53"/>
        <v>0.39079350758384157</v>
      </c>
      <c r="N73" s="1">
        <f t="shared" si="54"/>
        <v>8.4969999999999999</v>
      </c>
      <c r="O73" s="1">
        <f t="shared" si="55"/>
        <v>1153.2011270690716</v>
      </c>
      <c r="P73" s="1">
        <f t="shared" si="56"/>
        <v>1130.355612993425</v>
      </c>
      <c r="Q73" s="1">
        <f t="shared" si="57"/>
        <v>10000</v>
      </c>
      <c r="R73" s="1">
        <f t="shared" si="58"/>
        <v>10000</v>
      </c>
      <c r="S73" s="1">
        <f t="shared" si="59"/>
        <v>0.16115196189024394</v>
      </c>
      <c r="T73" s="1">
        <f t="shared" si="60"/>
        <v>472.04293899755527</v>
      </c>
      <c r="U73" s="1">
        <f t="shared" si="61"/>
        <v>29</v>
      </c>
      <c r="V73" s="1">
        <f t="shared" si="62"/>
        <v>501.04293899755527</v>
      </c>
      <c r="W73" s="1">
        <f t="shared" si="63"/>
        <v>1.1374296435272047</v>
      </c>
      <c r="X73" s="1">
        <f t="shared" si="64"/>
        <v>569.90109149581224</v>
      </c>
      <c r="Y73" s="1">
        <f t="shared" si="65"/>
        <v>844.76444430000004</v>
      </c>
      <c r="Z73" s="1">
        <f t="shared" si="66"/>
        <v>998.95064516548348</v>
      </c>
      <c r="AA73" s="1">
        <f t="shared" si="47"/>
        <v>9989506.4516548347</v>
      </c>
      <c r="AB73" s="1">
        <f t="shared" si="67"/>
        <v>10000</v>
      </c>
      <c r="AC73" s="1">
        <f t="shared" si="68"/>
        <v>10000</v>
      </c>
      <c r="AD73" s="1">
        <f t="shared" si="48"/>
        <v>10000</v>
      </c>
      <c r="AE73" s="1">
        <f t="shared" si="69"/>
        <v>10000</v>
      </c>
      <c r="AF73" s="1">
        <f t="shared" si="70"/>
        <v>10000</v>
      </c>
      <c r="AG73" s="1" t="str">
        <f t="shared" si="49"/>
        <v>Error!</v>
      </c>
      <c r="AH73" s="1">
        <f t="shared" si="71"/>
        <v>10000</v>
      </c>
    </row>
    <row r="74" spans="1:34" x14ac:dyDescent="0.25">
      <c r="A74" s="1"/>
      <c r="B74" s="1"/>
      <c r="C74" s="15">
        <v>355.6</v>
      </c>
      <c r="D74" s="15">
        <f t="shared" si="50"/>
        <v>35.56</v>
      </c>
      <c r="E74" s="13">
        <v>16</v>
      </c>
      <c r="F74" s="1" t="s">
        <v>149</v>
      </c>
      <c r="G74" s="13">
        <f t="shared" si="44"/>
        <v>1.6</v>
      </c>
      <c r="H74" s="13">
        <f t="shared" si="51"/>
        <v>16.600000000000001</v>
      </c>
      <c r="I74" s="13">
        <f t="shared" si="52"/>
        <v>89.2</v>
      </c>
      <c r="J74" s="13">
        <f t="shared" si="45"/>
        <v>35.56</v>
      </c>
      <c r="K74" s="13">
        <f t="shared" si="46"/>
        <v>1.6</v>
      </c>
      <c r="L74" s="13">
        <f>'TW-RBS وسط'!R20*'TW-RBS وسط'!R22*('TW-RBS وسط'!R19-'TW-RBS وسط'!R22)+(0.5*(G74^2)*('TW-RBS وسط'!R19-2*'TW-RBS وسط'!R22)^2)/(J74)</f>
        <v>2971.6063892013499</v>
      </c>
      <c r="M74" s="1">
        <f t="shared" si="53"/>
        <v>0.39079350758384157</v>
      </c>
      <c r="N74" s="1">
        <f t="shared" si="54"/>
        <v>8.4969999999999999</v>
      </c>
      <c r="O74" s="1">
        <f t="shared" si="55"/>
        <v>1169.7814839945499</v>
      </c>
      <c r="P74" s="1">
        <f t="shared" si="56"/>
        <v>1130.355612993425</v>
      </c>
      <c r="Q74" s="1">
        <f t="shared" si="57"/>
        <v>10000</v>
      </c>
      <c r="R74" s="1">
        <f t="shared" si="58"/>
        <v>10000</v>
      </c>
      <c r="S74" s="1">
        <f t="shared" si="59"/>
        <v>0.16115196189024394</v>
      </c>
      <c r="T74" s="1">
        <f t="shared" si="60"/>
        <v>478.88019958538138</v>
      </c>
      <c r="U74" s="1">
        <f t="shared" si="61"/>
        <v>29</v>
      </c>
      <c r="V74" s="1">
        <f t="shared" si="62"/>
        <v>507.88019958538138</v>
      </c>
      <c r="W74" s="1">
        <f t="shared" si="63"/>
        <v>1.1374296435272047</v>
      </c>
      <c r="X74" s="1">
        <f t="shared" si="64"/>
        <v>577.67799436892585</v>
      </c>
      <c r="Y74" s="1">
        <f t="shared" si="65"/>
        <v>844.76444430000004</v>
      </c>
      <c r="Z74" s="1">
        <f t="shared" si="66"/>
        <v>998.95064516548348</v>
      </c>
      <c r="AA74" s="1">
        <f t="shared" si="47"/>
        <v>9989506.4516548347</v>
      </c>
      <c r="AB74" s="1">
        <f t="shared" si="67"/>
        <v>10000</v>
      </c>
      <c r="AC74" s="1">
        <f t="shared" si="68"/>
        <v>10000</v>
      </c>
      <c r="AD74" s="1">
        <f t="shared" si="48"/>
        <v>10000</v>
      </c>
      <c r="AE74" s="1">
        <f t="shared" si="69"/>
        <v>10000</v>
      </c>
      <c r="AF74" s="1">
        <f t="shared" si="70"/>
        <v>10000</v>
      </c>
      <c r="AG74" s="1" t="str">
        <f t="shared" si="49"/>
        <v>Error!</v>
      </c>
      <c r="AH74" s="1">
        <f t="shared" si="71"/>
        <v>10000</v>
      </c>
    </row>
    <row r="75" spans="1:34" x14ac:dyDescent="0.25">
      <c r="A75" s="1"/>
      <c r="B75" s="1"/>
      <c r="C75" s="15">
        <v>355.6</v>
      </c>
      <c r="D75" s="15">
        <f t="shared" si="50"/>
        <v>35.56</v>
      </c>
      <c r="E75" s="13">
        <v>20</v>
      </c>
      <c r="F75" s="1" t="s">
        <v>150</v>
      </c>
      <c r="G75" s="13">
        <f t="shared" si="44"/>
        <v>2</v>
      </c>
      <c r="H75" s="13">
        <f t="shared" si="51"/>
        <v>16.600000000000001</v>
      </c>
      <c r="I75" s="13">
        <f t="shared" si="52"/>
        <v>89.2</v>
      </c>
      <c r="J75" s="13">
        <f t="shared" si="45"/>
        <v>35.56</v>
      </c>
      <c r="K75" s="13">
        <f t="shared" si="46"/>
        <v>2</v>
      </c>
      <c r="L75" s="13">
        <f>'TW-RBS وسط'!R20*'TW-RBS وسط'!R22*('TW-RBS وسط'!R19-'TW-RBS وسط'!R22)+(0.5*(G75^2)*('TW-RBS وسط'!R19-2*'TW-RBS وسط'!R22)^2)/(J75)</f>
        <v>3032.8549831271093</v>
      </c>
      <c r="M75" s="1">
        <f t="shared" si="53"/>
        <v>0.39079350758384157</v>
      </c>
      <c r="N75" s="1">
        <f t="shared" si="54"/>
        <v>8.4969999999999999</v>
      </c>
      <c r="O75" s="1">
        <f t="shared" si="55"/>
        <v>1193.7170368493757</v>
      </c>
      <c r="P75" s="1">
        <f t="shared" si="56"/>
        <v>1130.355612993425</v>
      </c>
      <c r="Q75" s="1">
        <f t="shared" si="57"/>
        <v>10000</v>
      </c>
      <c r="R75" s="1">
        <f t="shared" si="58"/>
        <v>10000</v>
      </c>
      <c r="S75" s="1">
        <f t="shared" si="59"/>
        <v>0.16115196189024394</v>
      </c>
      <c r="T75" s="1">
        <f t="shared" si="60"/>
        <v>488.75053065953637</v>
      </c>
      <c r="U75" s="1">
        <f t="shared" si="61"/>
        <v>29</v>
      </c>
      <c r="V75" s="1">
        <f t="shared" si="62"/>
        <v>517.75053065953637</v>
      </c>
      <c r="W75" s="1">
        <f t="shared" si="63"/>
        <v>1.1374296435272047</v>
      </c>
      <c r="X75" s="1">
        <f t="shared" si="64"/>
        <v>588.90480152409748</v>
      </c>
      <c r="Y75" s="1">
        <f t="shared" si="65"/>
        <v>844.76444430000004</v>
      </c>
      <c r="Z75" s="1">
        <f t="shared" si="66"/>
        <v>998.95064516548348</v>
      </c>
      <c r="AA75" s="1">
        <f t="shared" si="47"/>
        <v>9989506.4516548347</v>
      </c>
      <c r="AB75" s="1">
        <f t="shared" si="67"/>
        <v>10000</v>
      </c>
      <c r="AC75" s="1">
        <f t="shared" si="68"/>
        <v>10000</v>
      </c>
      <c r="AD75" s="1">
        <f t="shared" si="48"/>
        <v>10000</v>
      </c>
      <c r="AE75" s="1">
        <f t="shared" si="69"/>
        <v>10000</v>
      </c>
      <c r="AF75" s="1">
        <f t="shared" si="70"/>
        <v>10000</v>
      </c>
      <c r="AG75" s="1" t="str">
        <f t="shared" si="49"/>
        <v>Error!</v>
      </c>
      <c r="AH75" s="1">
        <f t="shared" si="71"/>
        <v>10000</v>
      </c>
    </row>
    <row r="76" spans="1:34" x14ac:dyDescent="0.25">
      <c r="A76" s="1"/>
      <c r="B76" s="1"/>
      <c r="C76" s="15">
        <v>355.6</v>
      </c>
      <c r="D76" s="15">
        <f t="shared" si="50"/>
        <v>35.56</v>
      </c>
      <c r="E76" s="13">
        <v>25</v>
      </c>
      <c r="F76" s="1" t="s">
        <v>139</v>
      </c>
      <c r="G76" s="13">
        <f t="shared" si="44"/>
        <v>2.5</v>
      </c>
      <c r="H76" s="13">
        <f t="shared" si="51"/>
        <v>16.600000000000001</v>
      </c>
      <c r="I76" s="13">
        <f t="shared" si="52"/>
        <v>89.2</v>
      </c>
      <c r="J76" s="13">
        <f t="shared" si="45"/>
        <v>35.56</v>
      </c>
      <c r="K76" s="13">
        <f t="shared" si="46"/>
        <v>2.5</v>
      </c>
      <c r="L76" s="13">
        <f>'TW-RBS وسط'!R20*'TW-RBS وسط'!R22*('TW-RBS وسط'!R19-'TW-RBS وسط'!R22)+(0.5*(G76^2)*('TW-RBS وسط'!R19-2*'TW-RBS وسط'!R22)^2)/(J76)</f>
        <v>3128.5559111361081</v>
      </c>
      <c r="M76" s="1">
        <f t="shared" si="53"/>
        <v>0.39079350758384157</v>
      </c>
      <c r="N76" s="1">
        <f t="shared" si="54"/>
        <v>8.4969999999999999</v>
      </c>
      <c r="O76" s="1">
        <f t="shared" si="55"/>
        <v>1231.1163381850411</v>
      </c>
      <c r="P76" s="1">
        <f t="shared" si="56"/>
        <v>1130.355612993425</v>
      </c>
      <c r="Q76" s="1">
        <f t="shared" si="57"/>
        <v>10000</v>
      </c>
      <c r="R76" s="1">
        <f t="shared" si="58"/>
        <v>10000</v>
      </c>
      <c r="S76" s="1">
        <f t="shared" si="59"/>
        <v>0.16115196189024394</v>
      </c>
      <c r="T76" s="1">
        <f t="shared" si="60"/>
        <v>504.1729229629035</v>
      </c>
      <c r="U76" s="1">
        <f t="shared" si="61"/>
        <v>29</v>
      </c>
      <c r="V76" s="1">
        <f t="shared" si="62"/>
        <v>533.1729229629035</v>
      </c>
      <c r="W76" s="1">
        <f t="shared" si="63"/>
        <v>1.1374296435272047</v>
      </c>
      <c r="X76" s="1">
        <f t="shared" si="64"/>
        <v>606.44668770405303</v>
      </c>
      <c r="Y76" s="1">
        <f t="shared" si="65"/>
        <v>844.76444430000004</v>
      </c>
      <c r="Z76" s="1">
        <f t="shared" si="66"/>
        <v>998.95064516548348</v>
      </c>
      <c r="AA76" s="1">
        <f t="shared" si="47"/>
        <v>9989506.4516548347</v>
      </c>
      <c r="AB76" s="1">
        <f t="shared" si="67"/>
        <v>10000</v>
      </c>
      <c r="AC76" s="1">
        <f t="shared" si="68"/>
        <v>10000</v>
      </c>
      <c r="AD76" s="1">
        <f t="shared" si="48"/>
        <v>10000</v>
      </c>
      <c r="AE76" s="1">
        <f t="shared" si="69"/>
        <v>10000</v>
      </c>
      <c r="AF76" s="1">
        <f t="shared" si="70"/>
        <v>10000</v>
      </c>
      <c r="AG76" s="1" t="str">
        <f t="shared" si="49"/>
        <v>Error!</v>
      </c>
      <c r="AH76" s="1">
        <f t="shared" si="71"/>
        <v>10000</v>
      </c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1">
        <f>MIN(J2:J76)</f>
        <v>16.830000000000002</v>
      </c>
      <c r="K77" s="11"/>
      <c r="L77" s="20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>
        <f>MIN(AF2:AF76)</f>
        <v>10000</v>
      </c>
      <c r="AG77" s="1"/>
      <c r="AH77" s="1">
        <f>MIN(AH2:AH76)</f>
        <v>10000</v>
      </c>
    </row>
    <row r="82" spans="13:13" x14ac:dyDescent="0.25">
      <c r="M82" s="1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U6364"/>
  <sheetViews>
    <sheetView rightToLeft="1" tabSelected="1" topLeftCell="A154" zoomScaleNormal="100" workbookViewId="0">
      <selection activeCell="Q203" sqref="Q203"/>
    </sheetView>
  </sheetViews>
  <sheetFormatPr defaultColWidth="8.85546875" defaultRowHeight="15" x14ac:dyDescent="0.25"/>
  <cols>
    <col min="1" max="17" width="2" customWidth="1"/>
    <col min="18" max="20" width="2" style="2" customWidth="1"/>
    <col min="21" max="46" width="2" customWidth="1"/>
  </cols>
  <sheetData>
    <row r="1" spans="1:45" ht="19.7" customHeight="1" x14ac:dyDescent="0.25">
      <c r="A1" s="49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50"/>
      <c r="S1" s="50"/>
      <c r="T1" s="50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</row>
    <row r="2" spans="1:45" ht="14.1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50"/>
      <c r="S2" s="50"/>
      <c r="T2" s="50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</row>
    <row r="3" spans="1:45" ht="19.7" customHeight="1" x14ac:dyDescent="0.25">
      <c r="A3" s="113" t="s">
        <v>1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48"/>
      <c r="W3" s="48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</row>
    <row r="4" spans="1:45" ht="19.7" customHeight="1" x14ac:dyDescent="0.25">
      <c r="A4" s="105" t="s">
        <v>2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8" t="s">
        <v>78</v>
      </c>
      <c r="M4" s="108"/>
      <c r="N4" s="108"/>
      <c r="O4" s="108"/>
      <c r="P4" s="108"/>
      <c r="Q4" s="108"/>
      <c r="R4" s="109">
        <v>2000000</v>
      </c>
      <c r="S4" s="109"/>
      <c r="T4" s="109"/>
      <c r="U4" s="109"/>
      <c r="V4" s="48"/>
      <c r="W4" s="48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3"/>
      <c r="AJ4" s="53"/>
      <c r="AK4" s="53"/>
      <c r="AL4" s="53"/>
      <c r="AM4" s="53"/>
      <c r="AN4" s="53"/>
      <c r="AO4" s="54"/>
      <c r="AP4" s="54"/>
      <c r="AQ4" s="54"/>
      <c r="AR4" s="54"/>
    </row>
    <row r="5" spans="1:45" ht="19.7" customHeight="1" x14ac:dyDescent="0.25">
      <c r="A5" s="105" t="s">
        <v>3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8" t="s">
        <v>4</v>
      </c>
      <c r="M5" s="108"/>
      <c r="N5" s="108"/>
      <c r="O5" s="108"/>
      <c r="P5" s="108"/>
      <c r="Q5" s="108"/>
      <c r="R5" s="109">
        <v>0.3</v>
      </c>
      <c r="S5" s="109"/>
      <c r="T5" s="109"/>
      <c r="U5" s="109"/>
      <c r="V5" s="48"/>
      <c r="W5" s="48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3"/>
      <c r="AJ5" s="53"/>
      <c r="AK5" s="53"/>
      <c r="AL5" s="53"/>
      <c r="AM5" s="53"/>
      <c r="AN5" s="53"/>
      <c r="AO5" s="54"/>
      <c r="AP5" s="54"/>
      <c r="AQ5" s="54"/>
      <c r="AR5" s="54"/>
    </row>
    <row r="6" spans="1:45" ht="19.7" customHeight="1" x14ac:dyDescent="0.25">
      <c r="A6" s="105" t="s">
        <v>5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8" t="s">
        <v>79</v>
      </c>
      <c r="M6" s="108"/>
      <c r="N6" s="108"/>
      <c r="O6" s="108"/>
      <c r="P6" s="108"/>
      <c r="Q6" s="108"/>
      <c r="R6" s="109">
        <v>2450</v>
      </c>
      <c r="S6" s="109"/>
      <c r="T6" s="109"/>
      <c r="U6" s="109"/>
      <c r="V6" s="48"/>
      <c r="W6" s="48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3"/>
      <c r="AJ6" s="53"/>
      <c r="AK6" s="53"/>
      <c r="AL6" s="53"/>
      <c r="AM6" s="53"/>
      <c r="AN6" s="53"/>
      <c r="AO6" s="54"/>
      <c r="AP6" s="54"/>
      <c r="AQ6" s="54"/>
      <c r="AR6" s="54"/>
    </row>
    <row r="7" spans="1:45" ht="19.7" customHeight="1" x14ac:dyDescent="0.25">
      <c r="A7" s="105" t="s">
        <v>6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8" t="s">
        <v>80</v>
      </c>
      <c r="M7" s="108"/>
      <c r="N7" s="108"/>
      <c r="O7" s="108"/>
      <c r="P7" s="108"/>
      <c r="Q7" s="108"/>
      <c r="R7" s="109">
        <v>4000</v>
      </c>
      <c r="S7" s="109"/>
      <c r="T7" s="109"/>
      <c r="U7" s="109"/>
      <c r="V7" s="48"/>
      <c r="W7" s="48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3"/>
      <c r="AJ7" s="53"/>
      <c r="AK7" s="53"/>
      <c r="AL7" s="53"/>
      <c r="AM7" s="53"/>
      <c r="AN7" s="53"/>
      <c r="AO7" s="54"/>
      <c r="AP7" s="54"/>
      <c r="AQ7" s="54"/>
      <c r="AR7" s="54"/>
    </row>
    <row r="8" spans="1:45" ht="14.1" customHeight="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11"/>
      <c r="M8" s="111"/>
      <c r="N8" s="111"/>
      <c r="O8" s="111"/>
      <c r="P8" s="111"/>
      <c r="Q8" s="111"/>
      <c r="R8" s="110"/>
      <c r="S8" s="110"/>
      <c r="T8" s="110"/>
      <c r="U8" s="110"/>
      <c r="V8" s="48"/>
      <c r="W8" s="48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3"/>
      <c r="AJ8" s="53"/>
      <c r="AK8" s="53"/>
      <c r="AL8" s="53"/>
      <c r="AM8" s="53"/>
      <c r="AN8" s="53"/>
      <c r="AO8" s="54"/>
      <c r="AP8" s="54"/>
      <c r="AQ8" s="54"/>
      <c r="AR8" s="54"/>
    </row>
    <row r="9" spans="1:45" ht="19.7" customHeight="1" x14ac:dyDescent="0.25">
      <c r="A9" s="113" t="s">
        <v>7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48"/>
      <c r="W9" s="48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</row>
    <row r="10" spans="1:45" ht="19.7" customHeight="1" x14ac:dyDescent="0.25">
      <c r="A10" s="105" t="s">
        <v>8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8" t="s">
        <v>156</v>
      </c>
      <c r="M10" s="108"/>
      <c r="N10" s="108"/>
      <c r="O10" s="108"/>
      <c r="P10" s="108"/>
      <c r="Q10" s="108"/>
      <c r="R10" s="109">
        <v>40</v>
      </c>
      <c r="S10" s="109"/>
      <c r="T10" s="109"/>
      <c r="U10" s="109"/>
      <c r="V10" s="48"/>
      <c r="W10" s="48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3"/>
      <c r="AJ10" s="53"/>
      <c r="AK10" s="53"/>
      <c r="AL10" s="53"/>
      <c r="AM10" s="53"/>
      <c r="AN10" s="53"/>
      <c r="AO10" s="54"/>
      <c r="AP10" s="54"/>
      <c r="AQ10" s="54"/>
      <c r="AR10" s="54"/>
    </row>
    <row r="11" spans="1:45" ht="19.7" customHeight="1" x14ac:dyDescent="0.25">
      <c r="A11" s="105" t="s">
        <v>9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8" t="s">
        <v>157</v>
      </c>
      <c r="M11" s="108"/>
      <c r="N11" s="108"/>
      <c r="O11" s="108"/>
      <c r="P11" s="108"/>
      <c r="Q11" s="108"/>
      <c r="R11" s="109">
        <v>20</v>
      </c>
      <c r="S11" s="109"/>
      <c r="T11" s="109"/>
      <c r="U11" s="109"/>
      <c r="V11" s="48"/>
      <c r="W11" s="48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3"/>
      <c r="AJ11" s="53"/>
      <c r="AK11" s="53"/>
      <c r="AL11" s="53"/>
      <c r="AM11" s="53"/>
      <c r="AN11" s="53"/>
      <c r="AO11" s="54"/>
      <c r="AP11" s="54"/>
      <c r="AQ11" s="54"/>
      <c r="AR11" s="54"/>
    </row>
    <row r="12" spans="1:45" ht="14.1" customHeigh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3"/>
      <c r="M12" s="53"/>
      <c r="N12" s="53"/>
      <c r="O12" s="53"/>
      <c r="P12" s="53"/>
      <c r="Q12" s="53"/>
      <c r="R12" s="54"/>
      <c r="S12" s="54"/>
      <c r="T12" s="54"/>
      <c r="U12" s="54"/>
      <c r="V12" s="48"/>
      <c r="W12" s="48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3"/>
      <c r="AJ12" s="55"/>
      <c r="AK12" s="53"/>
      <c r="AL12" s="53"/>
      <c r="AM12" s="53"/>
      <c r="AN12" s="53"/>
      <c r="AO12" s="54"/>
      <c r="AP12" s="54"/>
      <c r="AQ12" s="54"/>
      <c r="AR12" s="54"/>
    </row>
    <row r="13" spans="1:45" ht="19.7" customHeight="1" x14ac:dyDescent="0.25">
      <c r="A13" s="113" t="s">
        <v>39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48"/>
      <c r="W13" s="48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"/>
    </row>
    <row r="14" spans="1:45" ht="19.7" customHeight="1" x14ac:dyDescent="0.25">
      <c r="A14" s="105" t="s">
        <v>40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8" t="str">
        <f>IF(Data!B2&lt;3000,"E60",IF(Data!B2&lt;3800,"E70",IF(Data!B2&lt;4600,"E80")))</f>
        <v>E70</v>
      </c>
      <c r="M14" s="108"/>
      <c r="N14" s="108"/>
      <c r="O14" s="108"/>
      <c r="P14" s="108"/>
      <c r="Q14" s="108"/>
      <c r="R14" s="108"/>
      <c r="S14" s="108"/>
      <c r="T14" s="108"/>
      <c r="U14" s="108"/>
      <c r="V14" s="48"/>
      <c r="W14" s="48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4"/>
    </row>
    <row r="15" spans="1:45" ht="19.7" customHeight="1" x14ac:dyDescent="0.25">
      <c r="A15" s="105" t="s">
        <v>41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8" t="s">
        <v>77</v>
      </c>
      <c r="M15" s="108"/>
      <c r="N15" s="108"/>
      <c r="O15" s="108"/>
      <c r="P15" s="108"/>
      <c r="Q15" s="108"/>
      <c r="R15" s="114">
        <f>IF(L14="E60",4200,IF(L14="e70",4900,IF(L14="e80",5600)))</f>
        <v>4900</v>
      </c>
      <c r="S15" s="114"/>
      <c r="T15" s="114"/>
      <c r="U15" s="114"/>
      <c r="V15" s="48"/>
      <c r="W15" s="48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3"/>
      <c r="AJ15" s="53"/>
      <c r="AK15" s="53"/>
      <c r="AL15" s="53"/>
      <c r="AM15" s="53"/>
      <c r="AN15" s="53"/>
      <c r="AO15" s="54"/>
      <c r="AP15" s="54"/>
      <c r="AQ15" s="54"/>
      <c r="AR15" s="54"/>
      <c r="AS15" s="4"/>
    </row>
    <row r="16" spans="1:45" ht="19.7" customHeight="1" x14ac:dyDescent="0.25">
      <c r="A16" s="105" t="s">
        <v>55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12" t="s">
        <v>56</v>
      </c>
      <c r="M16" s="108"/>
      <c r="N16" s="108"/>
      <c r="O16" s="108"/>
      <c r="P16" s="108"/>
      <c r="Q16" s="108"/>
      <c r="R16" s="109">
        <v>1</v>
      </c>
      <c r="S16" s="109"/>
      <c r="T16" s="109"/>
      <c r="U16" s="109"/>
      <c r="V16" s="48"/>
      <c r="W16" s="48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6"/>
      <c r="AJ16" s="53"/>
      <c r="AK16" s="53"/>
      <c r="AL16" s="53"/>
      <c r="AM16" s="53"/>
      <c r="AN16" s="53"/>
      <c r="AO16" s="54"/>
      <c r="AP16" s="54"/>
      <c r="AQ16" s="54"/>
      <c r="AR16" s="54"/>
    </row>
    <row r="17" spans="1:47" ht="14.1" customHeight="1" x14ac:dyDescent="0.25">
      <c r="A17" s="5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111"/>
      <c r="M17" s="111"/>
      <c r="N17" s="111"/>
      <c r="O17" s="111"/>
      <c r="P17" s="111"/>
      <c r="Q17" s="111"/>
      <c r="R17" s="110"/>
      <c r="S17" s="110"/>
      <c r="T17" s="110"/>
      <c r="U17" s="110"/>
      <c r="V17" s="48"/>
      <c r="W17" s="48"/>
      <c r="X17" s="5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111"/>
      <c r="AJ17" s="111"/>
      <c r="AK17" s="111"/>
      <c r="AL17" s="111"/>
      <c r="AM17" s="111"/>
      <c r="AN17" s="111"/>
      <c r="AO17" s="110"/>
      <c r="AP17" s="110"/>
      <c r="AQ17" s="110"/>
      <c r="AR17" s="110"/>
    </row>
    <row r="18" spans="1:47" ht="19.7" customHeight="1" x14ac:dyDescent="0.25">
      <c r="A18" s="113" t="s">
        <v>10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48"/>
      <c r="W18" s="48"/>
      <c r="X18" s="113" t="s">
        <v>42</v>
      </c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T18" s="5"/>
      <c r="AU18" s="5"/>
    </row>
    <row r="19" spans="1:47" ht="19.7" customHeight="1" x14ac:dyDescent="0.25">
      <c r="A19" s="105" t="s">
        <v>11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8" t="s">
        <v>12</v>
      </c>
      <c r="M19" s="108"/>
      <c r="N19" s="108"/>
      <c r="O19" s="108"/>
      <c r="P19" s="108"/>
      <c r="Q19" s="108"/>
      <c r="R19" s="109">
        <v>58.6</v>
      </c>
      <c r="S19" s="109"/>
      <c r="T19" s="109"/>
      <c r="U19" s="109"/>
      <c r="V19" s="48"/>
      <c r="W19" s="48"/>
      <c r="X19" s="105" t="s">
        <v>11</v>
      </c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8" t="s">
        <v>12</v>
      </c>
      <c r="AJ19" s="108"/>
      <c r="AK19" s="108"/>
      <c r="AL19" s="108"/>
      <c r="AM19" s="108"/>
      <c r="AN19" s="108"/>
      <c r="AO19" s="109">
        <v>58.6</v>
      </c>
      <c r="AP19" s="109"/>
      <c r="AQ19" s="109"/>
      <c r="AR19" s="109"/>
      <c r="AT19" s="3"/>
      <c r="AU19" s="3"/>
    </row>
    <row r="20" spans="1:47" ht="19.7" customHeight="1" x14ac:dyDescent="0.25">
      <c r="A20" s="105" t="s">
        <v>13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8" t="s">
        <v>14</v>
      </c>
      <c r="M20" s="108"/>
      <c r="N20" s="108"/>
      <c r="O20" s="108"/>
      <c r="P20" s="108"/>
      <c r="Q20" s="108"/>
      <c r="R20" s="109">
        <v>28</v>
      </c>
      <c r="S20" s="109"/>
      <c r="T20" s="109"/>
      <c r="U20" s="109"/>
      <c r="V20" s="48"/>
      <c r="W20" s="48"/>
      <c r="X20" s="105" t="s">
        <v>13</v>
      </c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8" t="s">
        <v>14</v>
      </c>
      <c r="AJ20" s="108"/>
      <c r="AK20" s="108"/>
      <c r="AL20" s="108"/>
      <c r="AM20" s="108"/>
      <c r="AN20" s="108"/>
      <c r="AO20" s="109">
        <v>28</v>
      </c>
      <c r="AP20" s="109"/>
      <c r="AQ20" s="109"/>
      <c r="AR20" s="109"/>
      <c r="AT20" s="3"/>
      <c r="AU20" s="3"/>
    </row>
    <row r="21" spans="1:47" ht="19.7" customHeight="1" x14ac:dyDescent="0.25">
      <c r="A21" s="105" t="s">
        <v>15</v>
      </c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8" t="s">
        <v>16</v>
      </c>
      <c r="M21" s="108"/>
      <c r="N21" s="108"/>
      <c r="O21" s="108"/>
      <c r="P21" s="108"/>
      <c r="Q21" s="108"/>
      <c r="R21" s="109">
        <v>1</v>
      </c>
      <c r="S21" s="109"/>
      <c r="T21" s="109"/>
      <c r="U21" s="109"/>
      <c r="V21" s="48"/>
      <c r="W21" s="48"/>
      <c r="X21" s="105" t="s">
        <v>15</v>
      </c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8" t="s">
        <v>16</v>
      </c>
      <c r="AJ21" s="108"/>
      <c r="AK21" s="108"/>
      <c r="AL21" s="108"/>
      <c r="AM21" s="108"/>
      <c r="AN21" s="108"/>
      <c r="AO21" s="109">
        <v>1</v>
      </c>
      <c r="AP21" s="109"/>
      <c r="AQ21" s="109"/>
      <c r="AR21" s="109"/>
      <c r="AT21" s="3"/>
      <c r="AU21" s="3"/>
    </row>
    <row r="22" spans="1:47" ht="19.7" customHeight="1" x14ac:dyDescent="0.25">
      <c r="A22" s="105" t="s">
        <v>17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8" t="s">
        <v>18</v>
      </c>
      <c r="M22" s="108"/>
      <c r="N22" s="108"/>
      <c r="O22" s="108"/>
      <c r="P22" s="108"/>
      <c r="Q22" s="108"/>
      <c r="R22" s="109">
        <v>1.8</v>
      </c>
      <c r="S22" s="109"/>
      <c r="T22" s="109"/>
      <c r="U22" s="109"/>
      <c r="V22" s="48"/>
      <c r="W22" s="48"/>
      <c r="X22" s="105" t="s">
        <v>17</v>
      </c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8" t="s">
        <v>18</v>
      </c>
      <c r="AJ22" s="108"/>
      <c r="AK22" s="108"/>
      <c r="AL22" s="108"/>
      <c r="AM22" s="108"/>
      <c r="AN22" s="108"/>
      <c r="AO22" s="109">
        <v>1.8</v>
      </c>
      <c r="AP22" s="109"/>
      <c r="AQ22" s="109"/>
      <c r="AR22" s="109"/>
    </row>
    <row r="23" spans="1:47" ht="19.7" customHeight="1" x14ac:dyDescent="0.25">
      <c r="A23" s="105" t="s">
        <v>19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8" t="s">
        <v>20</v>
      </c>
      <c r="M23" s="108"/>
      <c r="N23" s="108"/>
      <c r="O23" s="108"/>
      <c r="P23" s="108"/>
      <c r="Q23" s="108"/>
      <c r="R23" s="114">
        <f>SQRT(((2*R22*(R20^3)/12)+(R21^3)*(R19-2*R22)/12)/(R21*(R19-2*R22)+2*R22*R20))</f>
        <v>6.503767710897491</v>
      </c>
      <c r="S23" s="114"/>
      <c r="T23" s="114"/>
      <c r="U23" s="114"/>
      <c r="V23" s="48"/>
      <c r="W23" s="48"/>
      <c r="X23" s="105" t="s">
        <v>19</v>
      </c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8" t="s">
        <v>20</v>
      </c>
      <c r="AJ23" s="108"/>
      <c r="AK23" s="108"/>
      <c r="AL23" s="108"/>
      <c r="AM23" s="108"/>
      <c r="AN23" s="108"/>
      <c r="AO23" s="114">
        <f>SQRT(((2*AO22*(AO20^3)/12)+(AO21^3)*(AO19-2*AO22)/12)/(AO21*(AO19-2*AO22)+2*AO22*AO20))</f>
        <v>6.503767710897491</v>
      </c>
      <c r="AP23" s="114"/>
      <c r="AQ23" s="114"/>
      <c r="AR23" s="114"/>
    </row>
    <row r="24" spans="1:47" ht="19.7" customHeight="1" x14ac:dyDescent="0.25">
      <c r="A24" s="107" t="s">
        <v>21</v>
      </c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8" t="s">
        <v>22</v>
      </c>
      <c r="M24" s="108"/>
      <c r="N24" s="108"/>
      <c r="O24" s="108"/>
      <c r="P24" s="108"/>
      <c r="Q24" s="108"/>
      <c r="R24" s="114">
        <f>MIN(0.8,R21)+ROUNDUP(R22,0)</f>
        <v>2.8</v>
      </c>
      <c r="S24" s="114"/>
      <c r="T24" s="114"/>
      <c r="U24" s="114"/>
      <c r="V24" s="48"/>
      <c r="W24" s="48"/>
      <c r="X24" s="107" t="s">
        <v>21</v>
      </c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8" t="s">
        <v>22</v>
      </c>
      <c r="AJ24" s="108"/>
      <c r="AK24" s="108"/>
      <c r="AL24" s="108"/>
      <c r="AM24" s="108"/>
      <c r="AN24" s="108"/>
      <c r="AO24" s="114">
        <f>MIN(0.8,AO21)+ROUNDUP(AO22,0)</f>
        <v>2.8</v>
      </c>
      <c r="AP24" s="114"/>
      <c r="AQ24" s="114"/>
      <c r="AR24" s="114"/>
    </row>
    <row r="25" spans="1:47" ht="19.7" customHeight="1" x14ac:dyDescent="0.25">
      <c r="A25" s="105" t="s">
        <v>23</v>
      </c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8" t="s">
        <v>76</v>
      </c>
      <c r="M25" s="108"/>
      <c r="N25" s="108"/>
      <c r="O25" s="108"/>
      <c r="P25" s="108"/>
      <c r="Q25" s="108"/>
      <c r="R25" s="114">
        <f>R20*R22*(R19-R22)+0.25*R21*(R19-2*R22)^2</f>
        <v>3618.9700000000003</v>
      </c>
      <c r="S25" s="114"/>
      <c r="T25" s="114"/>
      <c r="U25" s="114"/>
      <c r="V25" s="48"/>
      <c r="W25" s="48"/>
      <c r="X25" s="105" t="s">
        <v>23</v>
      </c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8" t="s">
        <v>76</v>
      </c>
      <c r="AJ25" s="108"/>
      <c r="AK25" s="108"/>
      <c r="AL25" s="108"/>
      <c r="AM25" s="108"/>
      <c r="AN25" s="108"/>
      <c r="AO25" s="114">
        <f>AO20*AO22*(AO19-AO22)+0.25*AO21*(AO19-2*AO22)^2</f>
        <v>3618.9700000000003</v>
      </c>
      <c r="AP25" s="114"/>
      <c r="AQ25" s="114"/>
      <c r="AR25" s="114"/>
    </row>
    <row r="26" spans="1:47" ht="19.7" customHeight="1" x14ac:dyDescent="0.25">
      <c r="A26" s="105" t="s">
        <v>24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8" t="s">
        <v>38</v>
      </c>
      <c r="M26" s="108"/>
      <c r="N26" s="108"/>
      <c r="O26" s="108"/>
      <c r="P26" s="108"/>
      <c r="Q26" s="108"/>
      <c r="R26" s="109">
        <v>485</v>
      </c>
      <c r="S26" s="109"/>
      <c r="T26" s="109"/>
      <c r="U26" s="109"/>
      <c r="V26" s="48"/>
      <c r="W26" s="48"/>
      <c r="X26" s="105" t="s">
        <v>24</v>
      </c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8" t="s">
        <v>38</v>
      </c>
      <c r="AJ26" s="108"/>
      <c r="AK26" s="108"/>
      <c r="AL26" s="108"/>
      <c r="AM26" s="108"/>
      <c r="AN26" s="108"/>
      <c r="AO26" s="109">
        <v>535</v>
      </c>
      <c r="AP26" s="109"/>
      <c r="AQ26" s="109"/>
      <c r="AR26" s="109"/>
    </row>
    <row r="27" spans="1:47" ht="19.7" customHeight="1" x14ac:dyDescent="0.25">
      <c r="A27" s="105" t="s">
        <v>25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8" t="s">
        <v>171</v>
      </c>
      <c r="M27" s="108"/>
      <c r="N27" s="108"/>
      <c r="O27" s="108"/>
      <c r="P27" s="108"/>
      <c r="Q27" s="108"/>
      <c r="R27" s="109">
        <f>2.22279745435963/0.00980665</f>
        <v>226.6622602376581</v>
      </c>
      <c r="S27" s="109"/>
      <c r="T27" s="109"/>
      <c r="U27" s="109"/>
      <c r="V27" s="48"/>
      <c r="W27" s="48"/>
      <c r="X27" s="105" t="s">
        <v>25</v>
      </c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8" t="s">
        <v>171</v>
      </c>
      <c r="AJ27" s="108"/>
      <c r="AK27" s="108"/>
      <c r="AL27" s="108"/>
      <c r="AM27" s="108"/>
      <c r="AN27" s="108"/>
      <c r="AO27" s="109">
        <f>2.31954360220163/0.00980665</f>
        <v>236.52762178742279</v>
      </c>
      <c r="AP27" s="109"/>
      <c r="AQ27" s="109"/>
      <c r="AR27" s="109"/>
    </row>
    <row r="28" spans="1:47" ht="14.1" customHeight="1" x14ac:dyDescent="0.25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111"/>
      <c r="M28" s="111"/>
      <c r="N28" s="111"/>
      <c r="O28" s="111"/>
      <c r="P28" s="111"/>
      <c r="Q28" s="111"/>
      <c r="R28" s="110"/>
      <c r="S28" s="110"/>
      <c r="T28" s="110"/>
      <c r="U28" s="110"/>
      <c r="V28" s="48"/>
      <c r="W28" s="48"/>
      <c r="X28" s="46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111"/>
      <c r="AJ28" s="111"/>
      <c r="AK28" s="111"/>
      <c r="AL28" s="111"/>
      <c r="AM28" s="111"/>
      <c r="AN28" s="111"/>
      <c r="AO28" s="110"/>
      <c r="AP28" s="110"/>
      <c r="AQ28" s="110"/>
      <c r="AR28" s="110"/>
    </row>
    <row r="29" spans="1:47" ht="19.7" customHeight="1" x14ac:dyDescent="0.25">
      <c r="A29" s="113" t="s">
        <v>26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48"/>
      <c r="W29" s="48"/>
      <c r="X29" s="113" t="s">
        <v>43</v>
      </c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</row>
    <row r="30" spans="1:47" ht="19.7" customHeight="1" x14ac:dyDescent="0.25">
      <c r="A30" s="105" t="s">
        <v>11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8" t="s">
        <v>27</v>
      </c>
      <c r="M30" s="108"/>
      <c r="N30" s="108"/>
      <c r="O30" s="108"/>
      <c r="P30" s="108"/>
      <c r="Q30" s="108"/>
      <c r="R30" s="109">
        <v>76.400000000000006</v>
      </c>
      <c r="S30" s="109"/>
      <c r="T30" s="109"/>
      <c r="U30" s="109"/>
      <c r="V30" s="48"/>
      <c r="W30" s="48"/>
      <c r="X30" s="105" t="s">
        <v>11</v>
      </c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8" t="s">
        <v>27</v>
      </c>
      <c r="AJ30" s="108"/>
      <c r="AK30" s="108"/>
      <c r="AL30" s="108"/>
      <c r="AM30" s="108"/>
      <c r="AN30" s="108"/>
      <c r="AO30" s="109">
        <v>76.400000000000006</v>
      </c>
      <c r="AP30" s="109"/>
      <c r="AQ30" s="109"/>
      <c r="AR30" s="109"/>
    </row>
    <row r="31" spans="1:47" ht="19.7" customHeight="1" x14ac:dyDescent="0.25">
      <c r="A31" s="105" t="s">
        <v>13</v>
      </c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8" t="s">
        <v>28</v>
      </c>
      <c r="M31" s="108"/>
      <c r="N31" s="108"/>
      <c r="O31" s="108"/>
      <c r="P31" s="108"/>
      <c r="Q31" s="108"/>
      <c r="R31" s="109">
        <v>45</v>
      </c>
      <c r="S31" s="109"/>
      <c r="T31" s="109"/>
      <c r="U31" s="109"/>
      <c r="V31" s="48"/>
      <c r="W31" s="48"/>
      <c r="X31" s="105" t="s">
        <v>13</v>
      </c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8" t="s">
        <v>28</v>
      </c>
      <c r="AJ31" s="108"/>
      <c r="AK31" s="108"/>
      <c r="AL31" s="108"/>
      <c r="AM31" s="108"/>
      <c r="AN31" s="108"/>
      <c r="AO31" s="109">
        <v>45</v>
      </c>
      <c r="AP31" s="109"/>
      <c r="AQ31" s="109"/>
      <c r="AR31" s="109"/>
    </row>
    <row r="32" spans="1:47" ht="19.7" customHeight="1" x14ac:dyDescent="0.25">
      <c r="A32" s="105" t="s">
        <v>15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8" t="s">
        <v>29</v>
      </c>
      <c r="M32" s="108"/>
      <c r="N32" s="108"/>
      <c r="O32" s="108"/>
      <c r="P32" s="108"/>
      <c r="Q32" s="108"/>
      <c r="R32" s="109">
        <v>2.5</v>
      </c>
      <c r="S32" s="109"/>
      <c r="T32" s="109"/>
      <c r="U32" s="109"/>
      <c r="V32" s="48"/>
      <c r="W32" s="48"/>
      <c r="X32" s="105" t="s">
        <v>15</v>
      </c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8" t="s">
        <v>29</v>
      </c>
      <c r="AJ32" s="108"/>
      <c r="AK32" s="108"/>
      <c r="AL32" s="108"/>
      <c r="AM32" s="108"/>
      <c r="AN32" s="108"/>
      <c r="AO32" s="109">
        <v>2.5</v>
      </c>
      <c r="AP32" s="109"/>
      <c r="AQ32" s="109"/>
      <c r="AR32" s="109"/>
    </row>
    <row r="33" spans="1:44" ht="19.7" customHeight="1" x14ac:dyDescent="0.25">
      <c r="A33" s="105" t="s">
        <v>17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8" t="s">
        <v>30</v>
      </c>
      <c r="M33" s="108"/>
      <c r="N33" s="108"/>
      <c r="O33" s="108"/>
      <c r="P33" s="108"/>
      <c r="Q33" s="108"/>
      <c r="R33" s="109">
        <v>3.2</v>
      </c>
      <c r="S33" s="109"/>
      <c r="T33" s="109"/>
      <c r="U33" s="109"/>
      <c r="V33" s="48"/>
      <c r="W33" s="48"/>
      <c r="X33" s="105" t="s">
        <v>17</v>
      </c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8" t="s">
        <v>30</v>
      </c>
      <c r="AJ33" s="108"/>
      <c r="AK33" s="108"/>
      <c r="AL33" s="108"/>
      <c r="AM33" s="108"/>
      <c r="AN33" s="108"/>
      <c r="AO33" s="109">
        <v>3.2</v>
      </c>
      <c r="AP33" s="109"/>
      <c r="AQ33" s="109"/>
      <c r="AR33" s="109"/>
    </row>
    <row r="34" spans="1:44" ht="19.7" customHeight="1" x14ac:dyDescent="0.25">
      <c r="A34" s="105" t="s">
        <v>21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8" t="s">
        <v>31</v>
      </c>
      <c r="M34" s="108"/>
      <c r="N34" s="108"/>
      <c r="O34" s="108"/>
      <c r="P34" s="108"/>
      <c r="Q34" s="108"/>
      <c r="R34" s="114">
        <f>MIN(0.8,R32)+ROUNDUP(R33,0)</f>
        <v>4.8</v>
      </c>
      <c r="S34" s="114"/>
      <c r="T34" s="114"/>
      <c r="U34" s="114"/>
      <c r="V34" s="48"/>
      <c r="W34" s="48"/>
      <c r="X34" s="105" t="s">
        <v>21</v>
      </c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8" t="s">
        <v>31</v>
      </c>
      <c r="AJ34" s="108"/>
      <c r="AK34" s="108"/>
      <c r="AL34" s="108"/>
      <c r="AM34" s="108"/>
      <c r="AN34" s="108"/>
      <c r="AO34" s="114">
        <f>MIN(0.8,AO32)+ROUNDUP(AO33,0)</f>
        <v>4.8</v>
      </c>
      <c r="AP34" s="114"/>
      <c r="AQ34" s="114"/>
      <c r="AR34" s="114"/>
    </row>
    <row r="35" spans="1:44" ht="19.7" customHeight="1" x14ac:dyDescent="0.25">
      <c r="A35" s="105" t="s">
        <v>32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8" t="s">
        <v>75</v>
      </c>
      <c r="M35" s="108"/>
      <c r="N35" s="108"/>
      <c r="O35" s="108"/>
      <c r="P35" s="108"/>
      <c r="Q35" s="108"/>
      <c r="R35" s="114">
        <f>R31*R33*(R30-R33)+0.25*R32*(R30-2*R33)^2</f>
        <v>13603.300000000001</v>
      </c>
      <c r="S35" s="114"/>
      <c r="T35" s="114"/>
      <c r="U35" s="114"/>
      <c r="V35" s="48"/>
      <c r="W35" s="48"/>
      <c r="X35" s="105" t="s">
        <v>32</v>
      </c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8" t="s">
        <v>75</v>
      </c>
      <c r="AJ35" s="108"/>
      <c r="AK35" s="108"/>
      <c r="AL35" s="108"/>
      <c r="AM35" s="108"/>
      <c r="AN35" s="108"/>
      <c r="AO35" s="114">
        <f>AO31*AO33*(AO30-AO33)+0.25*AO32*(AO30-2*AO33)^2</f>
        <v>13603.300000000001</v>
      </c>
      <c r="AP35" s="114"/>
      <c r="AQ35" s="114"/>
      <c r="AR35" s="114"/>
    </row>
    <row r="36" spans="1:44" ht="19.7" customHeight="1" x14ac:dyDescent="0.25">
      <c r="A36" s="105" t="s">
        <v>33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8" t="s">
        <v>34</v>
      </c>
      <c r="M36" s="108"/>
      <c r="N36" s="108"/>
      <c r="O36" s="108"/>
      <c r="P36" s="108"/>
      <c r="Q36" s="108"/>
      <c r="R36" s="109">
        <v>350</v>
      </c>
      <c r="S36" s="109"/>
      <c r="T36" s="109"/>
      <c r="U36" s="109"/>
      <c r="V36" s="48"/>
      <c r="W36" s="48"/>
      <c r="X36" s="105" t="s">
        <v>33</v>
      </c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8" t="s">
        <v>34</v>
      </c>
      <c r="AJ36" s="108"/>
      <c r="AK36" s="108"/>
      <c r="AL36" s="108"/>
      <c r="AM36" s="108"/>
      <c r="AN36" s="108"/>
      <c r="AO36" s="109">
        <v>350</v>
      </c>
      <c r="AP36" s="109"/>
      <c r="AQ36" s="109"/>
      <c r="AR36" s="109"/>
    </row>
    <row r="37" spans="1:44" ht="19.7" customHeight="1" x14ac:dyDescent="0.25">
      <c r="A37" s="105" t="s">
        <v>35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8" t="s">
        <v>176</v>
      </c>
      <c r="M37" s="108"/>
      <c r="N37" s="108"/>
      <c r="O37" s="108"/>
      <c r="P37" s="108"/>
      <c r="Q37" s="108"/>
      <c r="R37" s="109">
        <f>181.385398795018/0.00980665</f>
        <v>18496.163194874702</v>
      </c>
      <c r="S37" s="109"/>
      <c r="T37" s="109"/>
      <c r="U37" s="109"/>
      <c r="V37" s="48"/>
      <c r="W37" s="48"/>
      <c r="X37" s="105" t="s">
        <v>35</v>
      </c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8" t="s">
        <v>172</v>
      </c>
      <c r="AJ37" s="108"/>
      <c r="AK37" s="108"/>
      <c r="AL37" s="108"/>
      <c r="AM37" s="108"/>
      <c r="AN37" s="108"/>
      <c r="AO37" s="109">
        <f>203.993008011219/0.00980665</f>
        <v>20801.497760317641</v>
      </c>
      <c r="AP37" s="109"/>
      <c r="AQ37" s="109"/>
      <c r="AR37" s="109"/>
    </row>
    <row r="38" spans="1:44" ht="19.7" customHeight="1" x14ac:dyDescent="0.25">
      <c r="A38" s="105" t="s">
        <v>36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8" t="s">
        <v>177</v>
      </c>
      <c r="M38" s="108"/>
      <c r="N38" s="108"/>
      <c r="O38" s="108"/>
      <c r="P38" s="108"/>
      <c r="Q38" s="108"/>
      <c r="R38" s="109">
        <f>68.0195245481319/0.00980665</f>
        <v>6936.0611980780286</v>
      </c>
      <c r="S38" s="109"/>
      <c r="T38" s="109"/>
      <c r="U38" s="109"/>
      <c r="V38" s="48"/>
      <c r="W38" s="48"/>
      <c r="X38" s="105" t="s">
        <v>36</v>
      </c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8" t="s">
        <v>173</v>
      </c>
      <c r="AJ38" s="108"/>
      <c r="AK38" s="108"/>
      <c r="AL38" s="108"/>
      <c r="AM38" s="108"/>
      <c r="AN38" s="108"/>
      <c r="AO38" s="109">
        <f>76.4973780042073/0.00980665</f>
        <v>7800.5616601191341</v>
      </c>
      <c r="AP38" s="109"/>
      <c r="AQ38" s="109"/>
      <c r="AR38" s="109"/>
    </row>
    <row r="39" spans="1:44" ht="19.7" customHeight="1" x14ac:dyDescent="0.25">
      <c r="A39" s="105" t="s">
        <v>37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8" t="s">
        <v>174</v>
      </c>
      <c r="M39" s="108"/>
      <c r="N39" s="108"/>
      <c r="O39" s="108"/>
      <c r="P39" s="108"/>
      <c r="Q39" s="108"/>
      <c r="R39" s="109">
        <f>12.62387108847/0.00980665</f>
        <v>1287.2766019456185</v>
      </c>
      <c r="S39" s="109"/>
      <c r="T39" s="109"/>
      <c r="U39" s="109"/>
      <c r="V39" s="48"/>
      <c r="W39" s="48"/>
      <c r="X39" s="105" t="s">
        <v>37</v>
      </c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8" t="s">
        <v>174</v>
      </c>
      <c r="AJ39" s="108"/>
      <c r="AK39" s="108"/>
      <c r="AL39" s="108"/>
      <c r="AM39" s="108"/>
      <c r="AN39" s="108"/>
      <c r="AO39" s="109">
        <f>14.7247965223189/0.00980665</f>
        <v>1501.5113746609597</v>
      </c>
      <c r="AP39" s="109"/>
      <c r="AQ39" s="109"/>
      <c r="AR39" s="109"/>
    </row>
    <row r="40" spans="1:44" ht="19.7" customHeight="1" x14ac:dyDescent="0.25">
      <c r="A40" s="105" t="s">
        <v>25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8" t="s">
        <v>175</v>
      </c>
      <c r="M40" s="108"/>
      <c r="N40" s="108"/>
      <c r="O40" s="108"/>
      <c r="P40" s="108"/>
      <c r="Q40" s="108"/>
      <c r="R40" s="109">
        <f>336.396807937577/0.00980665</f>
        <v>34302.927904796954</v>
      </c>
      <c r="S40" s="109"/>
      <c r="T40" s="109"/>
      <c r="U40" s="109"/>
      <c r="V40" s="47"/>
      <c r="W40" s="47"/>
      <c r="X40" s="105" t="s">
        <v>25</v>
      </c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8" t="s">
        <v>175</v>
      </c>
      <c r="AJ40" s="108"/>
      <c r="AK40" s="108"/>
      <c r="AL40" s="108"/>
      <c r="AM40" s="108"/>
      <c r="AN40" s="108"/>
      <c r="AO40" s="109">
        <f>378.852315822345/0.00980665</f>
        <v>38632.184876827967</v>
      </c>
      <c r="AP40" s="109"/>
      <c r="AQ40" s="109"/>
      <c r="AR40" s="109"/>
    </row>
    <row r="41" spans="1:44" ht="2.25" customHeight="1" x14ac:dyDescent="0.25">
      <c r="A41" s="58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60"/>
      <c r="M41" s="60"/>
      <c r="N41" s="60"/>
      <c r="O41" s="60"/>
      <c r="P41" s="60"/>
      <c r="Q41" s="60"/>
      <c r="R41" s="61"/>
      <c r="S41" s="61"/>
      <c r="T41" s="61"/>
      <c r="U41" s="61"/>
      <c r="V41" s="47"/>
      <c r="W41" s="47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60"/>
      <c r="AJ41" s="60"/>
      <c r="AK41" s="60"/>
      <c r="AL41" s="60"/>
      <c r="AM41" s="60"/>
      <c r="AN41" s="60"/>
      <c r="AO41" s="61"/>
      <c r="AP41" s="61"/>
      <c r="AQ41" s="61"/>
      <c r="AR41" s="62"/>
    </row>
    <row r="42" spans="1:44" ht="19.7" customHeight="1" x14ac:dyDescent="0.25">
      <c r="A42" s="63" t="s">
        <v>46</v>
      </c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5"/>
    </row>
    <row r="43" spans="1:44" ht="19.7" customHeight="1" x14ac:dyDescent="0.25">
      <c r="A43" s="63" t="s">
        <v>47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5"/>
    </row>
    <row r="44" spans="1:44" ht="19.7" customHeight="1" x14ac:dyDescent="0.25">
      <c r="J44" s="22"/>
      <c r="K44" s="22"/>
      <c r="L44" s="98" t="str">
        <f>IF(R30&lt;=100,"OK","Not OK")</f>
        <v>OK</v>
      </c>
      <c r="M44" s="99"/>
      <c r="AB44" s="12"/>
      <c r="AE44" s="21"/>
      <c r="AF44" s="21"/>
      <c r="AG44" s="98" t="str">
        <f>IF(R19&lt;=100,"OK","Not OK")</f>
        <v>OK</v>
      </c>
      <c r="AH44" s="99"/>
    </row>
    <row r="45" spans="1:44" ht="19.7" customHeight="1" x14ac:dyDescent="0.25">
      <c r="J45" s="22"/>
      <c r="K45" s="22"/>
      <c r="L45" s="98" t="str">
        <f>IF(AO30&lt;=100,"OK","Not OK")</f>
        <v>OK</v>
      </c>
      <c r="M45" s="99"/>
      <c r="AF45" s="21"/>
      <c r="AG45" s="98" t="str">
        <f>IF(R22&lt;=5,"OK","Not OK")</f>
        <v>OK</v>
      </c>
      <c r="AH45" s="99"/>
      <c r="AI45" s="21"/>
    </row>
    <row r="46" spans="1:44" ht="19.7" customHeight="1" x14ac:dyDescent="0.25">
      <c r="AF46" s="22"/>
      <c r="AG46" s="98" t="str">
        <f>IF((R26/R19)&gt;=7,"OK","Not OK")</f>
        <v>OK</v>
      </c>
      <c r="AH46" s="99"/>
      <c r="AI46" s="22"/>
    </row>
    <row r="47" spans="1:44" ht="19.7" customHeight="1" x14ac:dyDescent="0.25"/>
    <row r="48" spans="1:44" ht="19.7" customHeight="1" x14ac:dyDescent="0.25">
      <c r="A48" s="63" t="s">
        <v>44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5"/>
    </row>
    <row r="49" spans="1:44" ht="19.7" customHeight="1" x14ac:dyDescent="0.25"/>
    <row r="50" spans="1:44" ht="19.7" customHeight="1" x14ac:dyDescent="0.25">
      <c r="D50" s="77">
        <f>AO27/(0.9*((AO19-2*AO22)*AO21+2*AO20*AO22)*R6)</f>
        <v>6.8850296993186433E-4</v>
      </c>
      <c r="E50" s="77"/>
      <c r="F50" s="77"/>
      <c r="G50" t="s">
        <v>58</v>
      </c>
      <c r="H50" s="77">
        <f>R27/(0.9*R6*((R19-2*R22)*R21+2*R20*R22))</f>
        <v>6.5978610940143072E-4</v>
      </c>
      <c r="I50" s="77"/>
      <c r="J50" s="77"/>
    </row>
    <row r="51" spans="1:44" ht="19.7" customHeight="1" x14ac:dyDescent="0.25"/>
    <row r="52" spans="1:44" ht="19.7" customHeight="1" x14ac:dyDescent="0.25">
      <c r="D52" s="77">
        <f>AO40/(0.9*((AO30-2*AO33)*AO32+2*AO31*AO33)*R6)</f>
        <v>3.7840745680911697E-2</v>
      </c>
      <c r="E52" s="77"/>
      <c r="F52" s="77"/>
      <c r="G52" t="s">
        <v>58</v>
      </c>
      <c r="H52" s="77">
        <f>R40/(0.9*((R30-2*R33)*R32+2*R31*R33)*R6)</f>
        <v>3.3600180137226855E-2</v>
      </c>
      <c r="I52" s="77"/>
      <c r="J52" s="77"/>
    </row>
    <row r="53" spans="1:44" ht="19.7" customHeight="1" x14ac:dyDescent="0.25"/>
    <row r="54" spans="1:44" ht="19.7" customHeight="1" x14ac:dyDescent="0.25">
      <c r="A54" s="98" t="str">
        <f>IF(P54&lt;D54,"OK","Not OK")</f>
        <v>OK</v>
      </c>
      <c r="B54" s="99"/>
      <c r="D54" s="103">
        <f>0.3*SQRT(R4/R6)</f>
        <v>8.5714285714285712</v>
      </c>
      <c r="E54" s="103"/>
      <c r="F54" s="103"/>
      <c r="P54" s="115">
        <f>(AO20/(2*AO22))</f>
        <v>7.7777777777777777</v>
      </c>
      <c r="Q54" s="115"/>
      <c r="R54" s="115"/>
      <c r="W54" s="98" t="str">
        <f>IF(AL54&lt;Z54,"OK","Not OK")</f>
        <v>OK</v>
      </c>
      <c r="X54" s="99"/>
      <c r="Z54" s="103">
        <f>0.3*SQRT(R4/R6)</f>
        <v>8.5714285714285712</v>
      </c>
      <c r="AA54" s="103"/>
      <c r="AB54" s="103"/>
      <c r="AL54" s="103">
        <f>(R20/(2*R22))</f>
        <v>7.7777777777777777</v>
      </c>
      <c r="AM54" s="103"/>
      <c r="AN54" s="103"/>
    </row>
    <row r="55" spans="1:44" ht="19.7" customHeight="1" x14ac:dyDescent="0.25"/>
    <row r="56" spans="1:44" ht="19.7" customHeight="1" x14ac:dyDescent="0.25">
      <c r="A56" s="98" t="str">
        <f>IF(P56&lt;F56,"OK","Not OK")</f>
        <v>OK</v>
      </c>
      <c r="B56" s="99"/>
      <c r="F56" s="103">
        <f>IF(D50&lt;=0.125,2.45*SQRT(R4/R6)*(1-0.93*D50),0.77*SQRT(R4/R6)*(2.93-D50))</f>
        <v>69.95517845665745</v>
      </c>
      <c r="G56" s="103"/>
      <c r="H56" s="103"/>
      <c r="P56" s="115">
        <f>(AO19-(2*AO22))/(2*AO21)</f>
        <v>27.5</v>
      </c>
      <c r="Q56" s="115"/>
      <c r="R56" s="115"/>
      <c r="W56" s="98" t="str">
        <f>IF(AL56&lt;AB56,"OK","Not OK")</f>
        <v>OK</v>
      </c>
      <c r="X56" s="99"/>
      <c r="AB56" s="103">
        <f>IF(H50&lt;=0.125,2.45*SQRT(R4/R6)*(1-0.93*H50),0.77*SQRT(R4/R6)*(2.93-H50))</f>
        <v>69.957047924277973</v>
      </c>
      <c r="AC56" s="103"/>
      <c r="AD56" s="103"/>
      <c r="AL56" s="103">
        <f>(R19-(2*R22))/(2*R21)</f>
        <v>27.5</v>
      </c>
      <c r="AM56" s="103"/>
      <c r="AN56" s="103"/>
    </row>
    <row r="57" spans="1:44" ht="19.7" customHeight="1" x14ac:dyDescent="0.25"/>
    <row r="58" spans="1:44" ht="19.7" customHeight="1" x14ac:dyDescent="0.25">
      <c r="A58" s="98" t="str">
        <f>IF(P58&lt;D58,"OK","Not OK")</f>
        <v>OK</v>
      </c>
      <c r="B58" s="99"/>
      <c r="D58" s="103">
        <f>0.3*SQRT(R4/R6)</f>
        <v>8.5714285714285712</v>
      </c>
      <c r="E58" s="103"/>
      <c r="F58" s="103"/>
      <c r="P58" s="115">
        <f>AO31/(2*AO33)</f>
        <v>7.03125</v>
      </c>
      <c r="Q58" s="115"/>
      <c r="R58" s="115"/>
      <c r="W58" s="98" t="str">
        <f>IF(AL58&lt;Z58,"OK","Not OK")</f>
        <v>OK</v>
      </c>
      <c r="X58" s="99"/>
      <c r="Z58" s="103">
        <f>0.3*SQRT(R4/R6)</f>
        <v>8.5714285714285712</v>
      </c>
      <c r="AA58" s="103"/>
      <c r="AB58" s="103"/>
      <c r="AL58" s="103">
        <f>R31/(2*R33)</f>
        <v>7.03125</v>
      </c>
      <c r="AM58" s="103"/>
      <c r="AN58" s="103"/>
    </row>
    <row r="59" spans="1:44" ht="19.7" customHeight="1" x14ac:dyDescent="0.25"/>
    <row r="60" spans="1:44" ht="19.7" customHeight="1" x14ac:dyDescent="0.25">
      <c r="A60" s="98" t="str">
        <f>IF(P60&lt;E60,"OK","Not OK")</f>
        <v>OK</v>
      </c>
      <c r="B60" s="99"/>
      <c r="E60" s="103">
        <f>IF(D52&lt;=0.125,2.45*SQRT(R4/R6)*(1-0.93*D52),0.77*SQRT(R4/R6)*(2.93-D52))</f>
        <v>67.536567456172662</v>
      </c>
      <c r="F60" s="103"/>
      <c r="G60" s="103"/>
      <c r="P60" s="115">
        <f>(AO30-(2*AO33))/(2*AO32)</f>
        <v>14</v>
      </c>
      <c r="Q60" s="115"/>
      <c r="R60" s="115"/>
      <c r="W60" s="98" t="str">
        <f>IF(AL60&lt;AA60,"OK","Not OK")</f>
        <v>OK</v>
      </c>
      <c r="X60" s="99"/>
      <c r="AA60" s="103">
        <f>IF(H52&lt;=0.125,2.45*SQRT(R4/R6)*(1-0.93*H52),0.77*SQRT(R4/R6)*(2.93-H52))</f>
        <v>67.812628273066551</v>
      </c>
      <c r="AB60" s="103"/>
      <c r="AC60" s="103"/>
      <c r="AL60" s="103">
        <f>(R30-(2*R33))/(2*R32)</f>
        <v>14</v>
      </c>
      <c r="AM60" s="103"/>
      <c r="AN60" s="103"/>
    </row>
    <row r="61" spans="1:44" ht="19.7" customHeight="1" x14ac:dyDescent="0.25">
      <c r="A61" s="24"/>
      <c r="B61" s="24"/>
      <c r="E61" s="23"/>
      <c r="F61" s="23"/>
      <c r="G61" s="23"/>
      <c r="P61" s="26"/>
      <c r="Q61" s="26"/>
      <c r="R61" s="26"/>
      <c r="W61" s="24"/>
      <c r="X61" s="24"/>
      <c r="AA61" s="23"/>
      <c r="AB61" s="23"/>
      <c r="AC61" s="23"/>
      <c r="AL61" s="23"/>
      <c r="AM61" s="23"/>
      <c r="AN61" s="23"/>
    </row>
    <row r="62" spans="1:44" ht="19.7" customHeight="1" x14ac:dyDescent="0.25">
      <c r="A62" s="63" t="s">
        <v>166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5"/>
    </row>
    <row r="63" spans="1:44" ht="19.7" customHeight="1" x14ac:dyDescent="0.25">
      <c r="A63" s="24"/>
      <c r="B63" s="24"/>
      <c r="E63" s="23"/>
      <c r="F63" s="23"/>
      <c r="G63" s="23"/>
      <c r="P63" s="26"/>
      <c r="Q63" s="26"/>
      <c r="R63" s="26"/>
      <c r="W63" s="24"/>
      <c r="X63" s="24"/>
      <c r="AA63" s="23"/>
      <c r="AB63" s="23"/>
      <c r="AC63" s="23"/>
      <c r="AL63" s="23"/>
      <c r="AM63" s="23"/>
      <c r="AN63" s="23"/>
    </row>
    <row r="64" spans="1:44" ht="19.7" customHeight="1" x14ac:dyDescent="0.25">
      <c r="A64" s="24"/>
      <c r="B64" s="24"/>
      <c r="E64" s="23"/>
      <c r="F64" s="23"/>
      <c r="G64" s="23"/>
      <c r="L64" s="90" t="s">
        <v>73</v>
      </c>
      <c r="M64" s="91"/>
      <c r="N64" s="89">
        <f>IF((ROUNDDOWN((X64/5),0)*5)&gt;(0.55*R26),ROUNDDOWN((0.11*R26),0)*5,ROUNDDOWN((X64/5),0))</f>
        <v>265</v>
      </c>
      <c r="O64" s="89"/>
      <c r="P64" s="89"/>
      <c r="Q64" s="40"/>
      <c r="R64" s="41"/>
      <c r="S64" s="42"/>
      <c r="V64" s="81" t="s">
        <v>73</v>
      </c>
      <c r="W64" s="81"/>
      <c r="X64" s="77">
        <f>0.086*R23*R4/R6</f>
        <v>456.59103929566055</v>
      </c>
      <c r="Y64" s="77"/>
      <c r="Z64" s="77"/>
      <c r="AA64" s="77"/>
      <c r="AB64" s="14"/>
      <c r="AC64" s="14"/>
      <c r="AD64" s="14"/>
      <c r="AE64" s="14"/>
      <c r="AF64" s="14"/>
    </row>
    <row r="65" spans="1:44" ht="19.7" customHeight="1" x14ac:dyDescent="0.25">
      <c r="A65" s="24"/>
      <c r="B65" s="24"/>
      <c r="E65" s="23"/>
      <c r="F65" s="23"/>
      <c r="G65" s="23"/>
      <c r="P65" s="26"/>
      <c r="Q65" s="26"/>
      <c r="R65" s="26"/>
      <c r="W65" s="24"/>
      <c r="X65" s="24"/>
      <c r="AA65" s="23"/>
      <c r="AB65" s="23"/>
      <c r="AC65" s="23"/>
      <c r="AL65" s="23"/>
      <c r="AM65" s="23"/>
      <c r="AN65" s="23"/>
    </row>
    <row r="66" spans="1:44" ht="19.7" customHeight="1" x14ac:dyDescent="0.25">
      <c r="A66" s="63" t="s">
        <v>45</v>
      </c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5"/>
    </row>
    <row r="67" spans="1:44" ht="19.7" customHeight="1" x14ac:dyDescent="0.25"/>
    <row r="68" spans="1:44" ht="19.7" customHeight="1" x14ac:dyDescent="0.25">
      <c r="X68" s="101" t="s">
        <v>73</v>
      </c>
      <c r="Y68" s="102"/>
      <c r="Z68" s="119">
        <f>0.5*R19</f>
        <v>29.3</v>
      </c>
      <c r="AA68" s="119"/>
      <c r="AB68" s="119"/>
      <c r="AC68" s="45"/>
      <c r="AD68" s="45"/>
      <c r="AE68" s="45"/>
      <c r="AF68" s="43"/>
      <c r="AG68" s="44"/>
    </row>
    <row r="69" spans="1:44" ht="19.7" customHeight="1" x14ac:dyDescent="0.25"/>
    <row r="70" spans="1:44" ht="19.7" customHeight="1" x14ac:dyDescent="0.25">
      <c r="W70" s="101" t="s">
        <v>73</v>
      </c>
      <c r="X70" s="102"/>
      <c r="Y70" s="126" t="e">
        <f>(2*Z68-AC72)/2</f>
        <v>#VALUE!</v>
      </c>
      <c r="Z70" s="126"/>
      <c r="AA70" s="126"/>
      <c r="AB70" s="126"/>
      <c r="AC70" s="43"/>
      <c r="AD70" s="44"/>
    </row>
    <row r="71" spans="1:44" ht="19.7" customHeight="1" x14ac:dyDescent="0.25"/>
    <row r="72" spans="1:44" ht="19.7" customHeight="1" x14ac:dyDescent="0.25">
      <c r="AA72" s="81" t="s">
        <v>73</v>
      </c>
      <c r="AB72" s="81"/>
      <c r="AC72" s="77" t="str">
        <f>IF(Data!AF77&gt;(R20-2),"Error!",Data!AF77)</f>
        <v>Error!</v>
      </c>
      <c r="AD72" s="77"/>
      <c r="AE72" s="77"/>
    </row>
    <row r="73" spans="1:44" ht="19.7" customHeight="1" x14ac:dyDescent="0.25"/>
    <row r="74" spans="1:44" ht="19.7" customHeight="1" x14ac:dyDescent="0.25">
      <c r="AA74" s="7"/>
      <c r="AB74" s="7"/>
      <c r="AC74" s="71">
        <f>Data!AH77</f>
        <v>10000</v>
      </c>
      <c r="AD74" s="127" t="e">
        <f>VLOOKUP(AC72,Data!AF2:AH76,2,FALSE)</f>
        <v>#N/A</v>
      </c>
      <c r="AE74" s="85"/>
      <c r="AF74" s="85"/>
      <c r="AG74" s="85"/>
      <c r="AH74" s="85"/>
      <c r="AI74" s="85"/>
      <c r="AJ74" s="85"/>
      <c r="AK74" s="128" t="s">
        <v>153</v>
      </c>
      <c r="AL74" s="128"/>
      <c r="AM74" s="128"/>
      <c r="AN74" s="129"/>
      <c r="AO74" s="72"/>
      <c r="AP74" s="72"/>
      <c r="AQ74" s="72"/>
      <c r="AR74" s="72"/>
    </row>
    <row r="75" spans="1:44" ht="19.7" customHeight="1" x14ac:dyDescent="0.25">
      <c r="Y75" s="81" t="s">
        <v>73</v>
      </c>
      <c r="Z75" s="81"/>
      <c r="AA75" s="120">
        <f>R26-2*Z68</f>
        <v>426.4</v>
      </c>
      <c r="AB75" s="120"/>
      <c r="AC75" s="120"/>
      <c r="AD75" s="8"/>
      <c r="AE75" s="8"/>
    </row>
    <row r="76" spans="1:44" ht="19.7" customHeight="1" x14ac:dyDescent="0.25">
      <c r="A76" s="63" t="s">
        <v>48</v>
      </c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5"/>
    </row>
    <row r="77" spans="1:44" ht="19.7" customHeight="1" x14ac:dyDescent="0.25"/>
    <row r="78" spans="1:44" ht="19.7" customHeight="1" x14ac:dyDescent="0.25">
      <c r="R78" s="100" t="s">
        <v>74</v>
      </c>
      <c r="S78" s="100"/>
      <c r="T78" s="77" t="e">
        <f>R20*R22*(R19-R22)+(0.5*(AC74^2)*(R19-2*R22)^2)/(AC72)</f>
        <v>#VALUE!</v>
      </c>
      <c r="U78" s="77"/>
      <c r="V78" s="77"/>
      <c r="W78" s="77"/>
    </row>
    <row r="79" spans="1:44" ht="19.7" customHeight="1" x14ac:dyDescent="0.25"/>
    <row r="80" spans="1:44" ht="19.7" customHeight="1" x14ac:dyDescent="0.25">
      <c r="Y80" s="117" t="s">
        <v>151</v>
      </c>
      <c r="Z80" s="117"/>
      <c r="AA80" s="117"/>
      <c r="AB80" s="103" t="e">
        <f>(Data!B7*Data!B8*R6*T78)*0.0000980665</f>
        <v>#VALUE!</v>
      </c>
      <c r="AC80" s="103"/>
      <c r="AD80" s="103"/>
      <c r="AE80" s="103"/>
    </row>
    <row r="81" spans="1:44" ht="19.7" customHeight="1" x14ac:dyDescent="0.25">
      <c r="A81" s="63" t="s">
        <v>49</v>
      </c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5"/>
    </row>
    <row r="82" spans="1:44" ht="19.7" customHeight="1" x14ac:dyDescent="0.25"/>
    <row r="83" spans="1:44" ht="19.7" customHeight="1" x14ac:dyDescent="0.25">
      <c r="AF83" s="117" t="s">
        <v>152</v>
      </c>
      <c r="AG83" s="117"/>
      <c r="AH83" s="103" t="e">
        <f>(2*AB80*100)/AA75</f>
        <v>#VALUE!</v>
      </c>
      <c r="AI83" s="103"/>
      <c r="AJ83" s="103"/>
      <c r="AK83" s="103"/>
    </row>
    <row r="84" spans="1:44" ht="19.7" customHeight="1" x14ac:dyDescent="0.25"/>
    <row r="85" spans="1:44" ht="19.7" customHeight="1" x14ac:dyDescent="0.25">
      <c r="AC85" s="117" t="s">
        <v>154</v>
      </c>
      <c r="AD85" s="117"/>
      <c r="AE85" s="117"/>
      <c r="AF85" s="103">
        <f>(1.2*R10+0.5*R11)</f>
        <v>58</v>
      </c>
      <c r="AG85" s="103"/>
      <c r="AH85" s="103"/>
      <c r="AI85" s="103"/>
    </row>
    <row r="86" spans="1:44" ht="19.7" customHeight="1" x14ac:dyDescent="0.25"/>
    <row r="87" spans="1:44" ht="19.7" customHeight="1" x14ac:dyDescent="0.25">
      <c r="A87" s="63" t="s">
        <v>158</v>
      </c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5"/>
    </row>
    <row r="88" spans="1:44" ht="19.7" customHeight="1" x14ac:dyDescent="0.25"/>
    <row r="89" spans="1:44" ht="19.7" customHeight="1" x14ac:dyDescent="0.25">
      <c r="AB89" s="7"/>
      <c r="AC89" s="81" t="s">
        <v>152</v>
      </c>
      <c r="AD89" s="81"/>
      <c r="AE89" s="81"/>
      <c r="AF89" s="77" t="e">
        <f>AH83-0.5*AF85</f>
        <v>#VALUE!</v>
      </c>
      <c r="AG89" s="77"/>
      <c r="AH89" s="77"/>
      <c r="AI89" s="77"/>
    </row>
    <row r="90" spans="1:44" ht="19.7" customHeight="1" x14ac:dyDescent="0.25"/>
    <row r="91" spans="1:44" ht="19.7" customHeight="1" x14ac:dyDescent="0.25">
      <c r="AA91" s="81" t="s">
        <v>151</v>
      </c>
      <c r="AB91" s="81"/>
      <c r="AC91" s="81"/>
      <c r="AD91" s="116" t="e">
        <f>AB80+AF89*Z68*0.00980665</f>
        <v>#VALUE!</v>
      </c>
      <c r="AE91" s="116"/>
      <c r="AF91" s="116"/>
      <c r="AG91" s="116"/>
      <c r="AH91" s="7"/>
    </row>
    <row r="92" spans="1:44" ht="19.7" customHeight="1" x14ac:dyDescent="0.25"/>
    <row r="93" spans="1:44" ht="19.7" customHeight="1" x14ac:dyDescent="0.25">
      <c r="A93" s="63" t="s">
        <v>159</v>
      </c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5"/>
    </row>
    <row r="94" spans="1:44" ht="19.7" customHeight="1" x14ac:dyDescent="0.25"/>
    <row r="95" spans="1:44" ht="19.7" customHeight="1" x14ac:dyDescent="0.25">
      <c r="AB95" s="7"/>
      <c r="AC95" s="81" t="s">
        <v>152</v>
      </c>
      <c r="AD95" s="81"/>
      <c r="AE95" s="81"/>
      <c r="AF95" s="77" t="e">
        <f>AH83+0.5*AF85</f>
        <v>#VALUE!</v>
      </c>
      <c r="AG95" s="77"/>
      <c r="AH95" s="77"/>
      <c r="AI95" s="77"/>
    </row>
    <row r="96" spans="1:44" ht="19.7" customHeight="1" x14ac:dyDescent="0.25"/>
    <row r="97" spans="1:44" ht="19.7" customHeight="1" x14ac:dyDescent="0.25">
      <c r="V97" s="8"/>
      <c r="W97" s="8"/>
      <c r="X97" s="8"/>
      <c r="Y97" s="8"/>
      <c r="AA97" s="81" t="s">
        <v>151</v>
      </c>
      <c r="AB97" s="81"/>
      <c r="AC97" s="81"/>
      <c r="AD97" s="116" t="e">
        <f>AB80+AF95*Z68*0.00980665</f>
        <v>#VALUE!</v>
      </c>
      <c r="AE97" s="116"/>
      <c r="AF97" s="116"/>
      <c r="AG97" s="116"/>
      <c r="AH97" s="7"/>
    </row>
    <row r="98" spans="1:44" ht="19.7" customHeight="1" x14ac:dyDescent="0.25"/>
    <row r="99" spans="1:44" ht="19.7" customHeight="1" x14ac:dyDescent="0.25">
      <c r="A99" s="63" t="s">
        <v>160</v>
      </c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5"/>
    </row>
    <row r="100" spans="1:44" ht="19.7" customHeight="1" x14ac:dyDescent="0.25">
      <c r="A100" s="6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7"/>
      <c r="S100" s="27"/>
      <c r="T100" s="27"/>
      <c r="U100" s="1"/>
      <c r="V100" s="1"/>
      <c r="W100" s="1"/>
      <c r="X100" s="1"/>
      <c r="Y100" s="1"/>
      <c r="Z100" s="1"/>
      <c r="AA100" s="1"/>
      <c r="AB100" s="1"/>
      <c r="AC100" s="1"/>
      <c r="AD100" s="28"/>
      <c r="AE100" s="28"/>
      <c r="AF100" s="28"/>
      <c r="AG100" s="28"/>
      <c r="AH100" s="28"/>
      <c r="AI100" s="28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9.7" customHeight="1" x14ac:dyDescent="0.25"/>
    <row r="102" spans="1:44" ht="19.7" customHeight="1" x14ac:dyDescent="0.25">
      <c r="AC102" s="81" t="s">
        <v>152</v>
      </c>
      <c r="AD102" s="81"/>
      <c r="AE102" s="77" t="e">
        <f>MAX(AF89,AF95)</f>
        <v>#VALUE!</v>
      </c>
      <c r="AF102" s="77"/>
      <c r="AG102" s="77"/>
      <c r="AH102" s="77"/>
    </row>
    <row r="103" spans="1:44" ht="19.7" customHeight="1" x14ac:dyDescent="0.25"/>
    <row r="104" spans="1:44" ht="19.7" customHeight="1" x14ac:dyDescent="0.25">
      <c r="AB104" s="79" t="s">
        <v>152</v>
      </c>
      <c r="AC104" s="79"/>
      <c r="AD104" s="78" t="e">
        <f>AE102*(R26)/AA75</f>
        <v>#VALUE!</v>
      </c>
      <c r="AE104" s="78"/>
      <c r="AF104" s="78"/>
      <c r="AG104" s="78"/>
    </row>
    <row r="105" spans="1:44" ht="19.7" customHeight="1" x14ac:dyDescent="0.25"/>
    <row r="106" spans="1:44" ht="19.7" customHeight="1" x14ac:dyDescent="0.25"/>
    <row r="107" spans="1:44" ht="19.7" customHeight="1" x14ac:dyDescent="0.25">
      <c r="AA107" s="81" t="s">
        <v>151</v>
      </c>
      <c r="AB107" s="81"/>
      <c r="AC107" s="81"/>
      <c r="AD107" s="77" t="e">
        <f>MAX(AD91,AD97)</f>
        <v>#VALUE!</v>
      </c>
      <c r="AE107" s="77"/>
      <c r="AF107" s="77"/>
      <c r="AG107" s="77"/>
    </row>
    <row r="108" spans="1:44" ht="19.7" customHeight="1" x14ac:dyDescent="0.25"/>
    <row r="109" spans="1:44" ht="19.7" customHeight="1" x14ac:dyDescent="0.25">
      <c r="A109" s="63" t="s">
        <v>167</v>
      </c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5"/>
    </row>
    <row r="110" spans="1:44" ht="19.7" customHeight="1" x14ac:dyDescent="0.25">
      <c r="A110" s="6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7"/>
      <c r="S110" s="27"/>
      <c r="T110" s="27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9.7" customHeight="1" x14ac:dyDescent="0.25">
      <c r="AD111" s="79" t="s">
        <v>151</v>
      </c>
      <c r="AE111" s="79"/>
      <c r="AF111" s="79"/>
      <c r="AG111" s="78">
        <f>R6*R25*0.0000980665</f>
        <v>869.50431768725002</v>
      </c>
      <c r="AH111" s="78"/>
      <c r="AI111" s="78"/>
      <c r="AJ111" s="78"/>
    </row>
    <row r="112" spans="1:44" ht="19.7" customHeight="1" x14ac:dyDescent="0.25"/>
    <row r="113" spans="1:44" ht="19.7" customHeight="1" x14ac:dyDescent="0.25">
      <c r="AD113" s="81" t="s">
        <v>151</v>
      </c>
      <c r="AE113" s="81"/>
      <c r="AF113" s="81"/>
      <c r="AG113" s="103">
        <f>Data!B8*AG111</f>
        <v>1130.355612993425</v>
      </c>
      <c r="AH113" s="103"/>
      <c r="AI113" s="103"/>
      <c r="AJ113" s="103"/>
    </row>
    <row r="114" spans="1:44" ht="19.7" customHeight="1" x14ac:dyDescent="0.25"/>
    <row r="115" spans="1:44" ht="19.7" customHeight="1" x14ac:dyDescent="0.25">
      <c r="F115" s="98" t="e">
        <f>IF(P115&lt;=K115,"OK","Not OK")</f>
        <v>#VALUE!</v>
      </c>
      <c r="G115" s="99"/>
      <c r="K115" s="77">
        <f>AG113</f>
        <v>1130.355612993425</v>
      </c>
      <c r="L115" s="77"/>
      <c r="M115" s="77"/>
      <c r="N115" s="77"/>
      <c r="P115" s="77" t="e">
        <f>AD107</f>
        <v>#VALUE!</v>
      </c>
      <c r="Q115" s="77"/>
      <c r="R115" s="77"/>
      <c r="S115" s="77"/>
    </row>
    <row r="116" spans="1:44" ht="19.7" customHeight="1" x14ac:dyDescent="0.25">
      <c r="F116" s="24"/>
      <c r="G116" s="24"/>
      <c r="K116" s="24"/>
      <c r="L116" s="24"/>
      <c r="M116" s="24"/>
      <c r="N116" s="24"/>
      <c r="P116" s="24"/>
      <c r="Q116" s="24"/>
      <c r="R116" s="24"/>
      <c r="S116" s="24"/>
    </row>
    <row r="117" spans="1:44" ht="19.7" customHeight="1" x14ac:dyDescent="0.25">
      <c r="A117" s="63" t="s">
        <v>168</v>
      </c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5"/>
    </row>
    <row r="118" spans="1:44" ht="19.7" customHeight="1" x14ac:dyDescent="0.25">
      <c r="AE118" s="77" t="str">
        <f>AC72</f>
        <v>Error!</v>
      </c>
      <c r="AF118" s="77"/>
      <c r="AG118" s="77"/>
    </row>
    <row r="119" spans="1:44" ht="19.7" customHeight="1" x14ac:dyDescent="0.25">
      <c r="AE119" s="25"/>
      <c r="AF119" s="25"/>
      <c r="AG119" s="25"/>
    </row>
    <row r="120" spans="1:44" ht="19.7" customHeight="1" x14ac:dyDescent="0.25"/>
    <row r="121" spans="1:44" ht="19.7" customHeight="1" x14ac:dyDescent="0.25">
      <c r="AC121" s="77" t="e">
        <f>5.34+4*(AE118/(R19-2*R22))^2</f>
        <v>#VALUE!</v>
      </c>
      <c r="AD121" s="77"/>
      <c r="AE121" s="77"/>
      <c r="AF121" s="77"/>
    </row>
    <row r="122" spans="1:44" ht="19.7" customHeight="1" x14ac:dyDescent="0.25"/>
    <row r="123" spans="1:44" ht="19.7" customHeight="1" x14ac:dyDescent="0.25">
      <c r="W123" s="77" t="s">
        <v>155</v>
      </c>
      <c r="X123" s="77"/>
      <c r="Y123" s="77"/>
      <c r="Z123" s="77" t="e">
        <f>(AC121*(PI())^2*R4)*(AC74/AE118)^2/(12*(1-R5^2))</f>
        <v>#VALUE!</v>
      </c>
      <c r="AA123" s="77"/>
      <c r="AB123" s="77"/>
      <c r="AC123" s="77"/>
    </row>
    <row r="124" spans="1:44" ht="19.7" customHeight="1" x14ac:dyDescent="0.25"/>
    <row r="125" spans="1:44" ht="19.7" customHeight="1" x14ac:dyDescent="0.25">
      <c r="AI125" s="78">
        <f>0.5</f>
        <v>0.5</v>
      </c>
      <c r="AJ125" s="78"/>
    </row>
    <row r="126" spans="1:44" ht="19.7" customHeight="1" x14ac:dyDescent="0.25"/>
    <row r="127" spans="1:44" ht="19.7" customHeight="1" x14ac:dyDescent="0.25">
      <c r="U127" s="78" t="e">
        <f>36*(2*(1+(AC72/AC74)^2)*(1-R5^2))^(3/4)/((PI())^2*SQRT(AI125))</f>
        <v>#VALUE!</v>
      </c>
      <c r="V127" s="78"/>
      <c r="W127" s="78"/>
      <c r="X127" s="78"/>
    </row>
    <row r="128" spans="1:44" ht="19.7" customHeight="1" x14ac:dyDescent="0.25"/>
    <row r="129" spans="4:33" ht="19.7" customHeight="1" x14ac:dyDescent="0.25"/>
    <row r="130" spans="4:33" ht="19.7" customHeight="1" x14ac:dyDescent="0.25">
      <c r="W130" s="78" t="s">
        <v>155</v>
      </c>
      <c r="X130" s="78"/>
      <c r="Y130" s="78"/>
      <c r="Z130" s="78" t="e">
        <f>(U127*(PI())^2*R4)*(AC74/(R19-2*R22))^2/(12*(1-R5^2))</f>
        <v>#VALUE!</v>
      </c>
      <c r="AA130" s="78"/>
      <c r="AB130" s="78"/>
      <c r="AC130" s="78"/>
    </row>
    <row r="131" spans="4:33" ht="19.7" customHeight="1" x14ac:dyDescent="0.25"/>
    <row r="132" spans="4:33" ht="19.7" customHeight="1" x14ac:dyDescent="0.25"/>
    <row r="133" spans="4:33" ht="19.7" customHeight="1" x14ac:dyDescent="0.25"/>
    <row r="134" spans="4:33" ht="19.7" customHeight="1" x14ac:dyDescent="0.25"/>
    <row r="135" spans="4:33" ht="19.7" customHeight="1" x14ac:dyDescent="0.25">
      <c r="AA135" s="103" t="s">
        <v>155</v>
      </c>
      <c r="AB135" s="103"/>
      <c r="AC135" s="103"/>
      <c r="AD135" s="77">
        <f>0.6*R6</f>
        <v>1470</v>
      </c>
      <c r="AE135" s="77"/>
      <c r="AF135" s="77"/>
      <c r="AG135" s="77"/>
    </row>
    <row r="136" spans="4:33" ht="19.7" customHeight="1" x14ac:dyDescent="0.25"/>
    <row r="137" spans="4:33" ht="19.7" customHeight="1" x14ac:dyDescent="0.25">
      <c r="AA137" s="103" t="s">
        <v>155</v>
      </c>
      <c r="AB137" s="103"/>
      <c r="AC137" s="103"/>
      <c r="AD137" s="77">
        <f>(AD135)/(2^(2/3))</f>
        <v>926.04197167273185</v>
      </c>
      <c r="AE137" s="77"/>
      <c r="AF137" s="77"/>
      <c r="AG137" s="77"/>
    </row>
    <row r="138" spans="4:33" ht="19.7" customHeight="1" x14ac:dyDescent="0.25"/>
    <row r="139" spans="4:33" ht="19.7" customHeight="1" x14ac:dyDescent="0.25">
      <c r="Z139" s="81" t="s">
        <v>152</v>
      </c>
      <c r="AA139" s="81"/>
      <c r="AB139" s="77">
        <f>0.6*R6*R19*R21*0.00980665</f>
        <v>844.76444430000004</v>
      </c>
      <c r="AC139" s="77"/>
      <c r="AD139" s="77"/>
      <c r="AE139" s="77"/>
    </row>
    <row r="140" spans="4:33" ht="19.7" customHeight="1" x14ac:dyDescent="0.25"/>
    <row r="141" spans="4:33" ht="19.7" customHeight="1" x14ac:dyDescent="0.25">
      <c r="Z141" s="81" t="s">
        <v>152</v>
      </c>
      <c r="AA141" s="81"/>
      <c r="AB141" s="77">
        <f>2*AD137*(R19-2*R22)*AC74*0.00980665</f>
        <v>9989506.4516548347</v>
      </c>
      <c r="AC141" s="77"/>
      <c r="AD141" s="77"/>
      <c r="AE141" s="77"/>
    </row>
    <row r="142" spans="4:33" ht="19.7" customHeight="1" x14ac:dyDescent="0.25"/>
    <row r="143" spans="4:33" ht="19.7" customHeight="1" x14ac:dyDescent="0.25">
      <c r="D143" s="98" t="e">
        <f>IF(N143&lt;=I143,"OK","Not OK")</f>
        <v>#VALUE!</v>
      </c>
      <c r="E143" s="99"/>
      <c r="I143" s="77">
        <f>AB143</f>
        <v>8990555.8064893521</v>
      </c>
      <c r="J143" s="77"/>
      <c r="K143" s="77"/>
      <c r="L143" s="77"/>
      <c r="N143" s="77" t="e">
        <f>AE102</f>
        <v>#VALUE!</v>
      </c>
      <c r="O143" s="77"/>
      <c r="P143" s="77"/>
      <c r="Q143" s="77"/>
      <c r="Z143" s="81" t="s">
        <v>152</v>
      </c>
      <c r="AA143" s="81"/>
      <c r="AB143" s="77">
        <f>0.9*AB141</f>
        <v>8990555.8064893521</v>
      </c>
      <c r="AC143" s="77"/>
      <c r="AD143" s="77"/>
      <c r="AE143" s="77"/>
    </row>
    <row r="144" spans="4:33" ht="19.7" customHeight="1" x14ac:dyDescent="0.25"/>
    <row r="145" spans="1:44" ht="19.7" customHeight="1" x14ac:dyDescent="0.25">
      <c r="D145" s="98" t="e">
        <f>IF(N145&lt;=I145,"OK","Not OK")</f>
        <v>#VALUE!</v>
      </c>
      <c r="E145" s="99"/>
      <c r="I145" s="77">
        <f>AB145</f>
        <v>760.28799987000002</v>
      </c>
      <c r="J145" s="77"/>
      <c r="K145" s="77"/>
      <c r="L145" s="77"/>
      <c r="N145" s="77" t="e">
        <f>AD104</f>
        <v>#VALUE!</v>
      </c>
      <c r="O145" s="77"/>
      <c r="P145" s="77"/>
      <c r="Q145" s="77"/>
      <c r="Z145" s="79" t="s">
        <v>152</v>
      </c>
      <c r="AA145" s="79"/>
      <c r="AB145" s="78">
        <f>0.9*AB139</f>
        <v>760.28799987000002</v>
      </c>
      <c r="AC145" s="78"/>
      <c r="AD145" s="78"/>
      <c r="AE145" s="78"/>
    </row>
    <row r="146" spans="1:44" ht="19.7" customHeight="1" x14ac:dyDescent="0.25"/>
    <row r="147" spans="1:44" ht="19.7" customHeight="1" x14ac:dyDescent="0.25">
      <c r="A147" s="63" t="s">
        <v>169</v>
      </c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5"/>
    </row>
    <row r="148" spans="1:44" ht="19.7" customHeight="1" x14ac:dyDescent="0.25"/>
    <row r="149" spans="1:44" ht="19.7" customHeight="1" x14ac:dyDescent="0.25">
      <c r="S149" s="79" t="s">
        <v>187</v>
      </c>
      <c r="T149" s="79"/>
      <c r="U149" s="79"/>
      <c r="V149" s="78">
        <f>(1.41*R37+3*R39+0.5*R38)</f>
        <v>33409.450509649199</v>
      </c>
      <c r="W149" s="78"/>
      <c r="X149" s="78"/>
      <c r="Y149" s="78"/>
    </row>
    <row r="150" spans="1:44" ht="19.7" customHeight="1" x14ac:dyDescent="0.25">
      <c r="S150" s="31"/>
      <c r="T150" s="31"/>
      <c r="U150" s="8"/>
      <c r="V150" s="8"/>
      <c r="W150" s="8"/>
      <c r="X150" s="8"/>
      <c r="Y150" s="8"/>
    </row>
    <row r="151" spans="1:44" ht="19.7" customHeight="1" x14ac:dyDescent="0.25">
      <c r="S151" s="79" t="s">
        <v>187</v>
      </c>
      <c r="T151" s="79"/>
      <c r="U151" s="79"/>
      <c r="V151" s="78">
        <f>(1.41*AO37+3*AO39+0.5*AO38)</f>
        <v>37734.926796090316</v>
      </c>
      <c r="W151" s="78"/>
      <c r="X151" s="78"/>
      <c r="Y151" s="78"/>
    </row>
    <row r="152" spans="1:44" ht="19.7" customHeight="1" x14ac:dyDescent="0.25"/>
    <row r="153" spans="1:44" ht="19.7" customHeight="1" x14ac:dyDescent="0.25">
      <c r="E153" s="79" t="s">
        <v>151</v>
      </c>
      <c r="F153" s="79"/>
      <c r="G153" s="79"/>
      <c r="H153" s="78">
        <f>(R35*(R6-(V149/((R30-2*R33)*R32+2*R31*R33)))*(R36/(R36-R19))+AO35*(R6-(V151/((AO30-2*AO33)*AO32+2*AO31*AO33)))*(AO36/(AO36-R19)))*0.0000980665</f>
        <v>7605.0545533583509</v>
      </c>
      <c r="I153" s="78"/>
      <c r="J153" s="78"/>
      <c r="K153" s="78"/>
    </row>
    <row r="154" spans="1:44" ht="19.7" customHeight="1" x14ac:dyDescent="0.25"/>
    <row r="155" spans="1:44" ht="19.7" customHeight="1" x14ac:dyDescent="0.25">
      <c r="R155" s="79" t="s">
        <v>151</v>
      </c>
      <c r="S155" s="79"/>
      <c r="T155" s="79"/>
      <c r="U155" s="78" t="e">
        <f>2*AB80+(AF89)*(Z68+R30*0.5)*10^(-2)+(AF95)*(Z68+AO30*0.5)*10^(-2)</f>
        <v>#VALUE!</v>
      </c>
      <c r="V155" s="78"/>
      <c r="W155" s="78"/>
      <c r="X155" s="78"/>
    </row>
    <row r="156" spans="1:44" ht="19.7" customHeight="1" x14ac:dyDescent="0.25"/>
    <row r="157" spans="1:44" ht="19.7" customHeight="1" x14ac:dyDescent="0.25">
      <c r="AB157" s="98" t="e">
        <f>IF(AJ157&gt;1,"OK","Not OK")</f>
        <v>#VALUE!</v>
      </c>
      <c r="AC157" s="99"/>
      <c r="AJ157" s="78" t="e">
        <f>(H153)/(U155)</f>
        <v>#VALUE!</v>
      </c>
      <c r="AK157" s="78"/>
      <c r="AL157" s="78"/>
      <c r="AM157" s="78"/>
    </row>
    <row r="158" spans="1:44" ht="19.7" customHeight="1" x14ac:dyDescent="0.25">
      <c r="AJ158" s="24"/>
      <c r="AK158" s="24"/>
      <c r="AL158" s="24"/>
      <c r="AM158" s="24"/>
    </row>
    <row r="159" spans="1:44" ht="19.7" customHeight="1" x14ac:dyDescent="0.25">
      <c r="A159" s="63" t="s">
        <v>170</v>
      </c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5"/>
    </row>
    <row r="160" spans="1:44" ht="19.7" customHeight="1" x14ac:dyDescent="0.25">
      <c r="AH160" s="8"/>
      <c r="AI160" s="8"/>
      <c r="AJ160" s="8"/>
    </row>
    <row r="161" spans="1:44" ht="19.7" customHeight="1" x14ac:dyDescent="0.25">
      <c r="K161" s="14"/>
      <c r="L161" s="14"/>
      <c r="M161" s="14"/>
      <c r="N161" s="81" t="s">
        <v>73</v>
      </c>
      <c r="O161" s="81"/>
      <c r="P161" s="77">
        <f>MAX(0.4*SQRT(1.8*R20*R22),R20/6)</f>
        <v>4.666666666666667</v>
      </c>
      <c r="Q161" s="77"/>
      <c r="R161" s="77"/>
      <c r="AH161" s="33"/>
      <c r="AI161" s="32"/>
      <c r="AJ161" s="30" t="str">
        <f>IF(AK161&lt;P161,"&lt;","&gt;")</f>
        <v>&lt;</v>
      </c>
      <c r="AK161" s="77">
        <f>MIN(R33,AO33)</f>
        <v>3.2</v>
      </c>
      <c r="AL161" s="77"/>
      <c r="AM161" s="77"/>
    </row>
    <row r="162" spans="1:44" ht="19.7" customHeight="1" x14ac:dyDescent="0.25">
      <c r="K162" s="8"/>
      <c r="L162" s="8"/>
      <c r="M162" s="8"/>
      <c r="N162" s="8"/>
      <c r="O162" s="8"/>
      <c r="P162" s="8"/>
      <c r="AH162" s="8"/>
      <c r="AI162" s="8"/>
      <c r="AJ162" s="8"/>
      <c r="AK162" s="8"/>
      <c r="AL162" s="8"/>
      <c r="AM162" s="8"/>
    </row>
    <row r="163" spans="1:44" ht="19.7" customHeight="1" x14ac:dyDescent="0.25">
      <c r="B163" s="104" t="str">
        <f>IF(AK161&lt;P161,"برای تقویت بال ستون به یک جفت ورق پیوستگی نیاز است.","تعبیه ورق های پیوستگی در چشمه اتصال الزامی نیست.")</f>
        <v>برای تقویت بال ستون به یک جفت ورق پیوستگی نیاز است.</v>
      </c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</row>
    <row r="164" spans="1:44" ht="19.7" customHeight="1" x14ac:dyDescent="0.25"/>
    <row r="165" spans="1:44" ht="19.7" customHeight="1" x14ac:dyDescent="0.25">
      <c r="A165" s="63" t="s">
        <v>50</v>
      </c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5"/>
    </row>
    <row r="166" spans="1:44" ht="19.7" customHeight="1" x14ac:dyDescent="0.25">
      <c r="A166" s="63" t="s">
        <v>51</v>
      </c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5"/>
    </row>
    <row r="167" spans="1:44" ht="19.7" customHeight="1" x14ac:dyDescent="0.25"/>
    <row r="168" spans="1:44" ht="19.7" customHeight="1" x14ac:dyDescent="0.25">
      <c r="S168" s="118" t="s">
        <v>152</v>
      </c>
      <c r="T168" s="118"/>
      <c r="U168" s="77">
        <f>6.25*R6*(AK161^2)*0.00980665</f>
        <v>1537.6827200000002</v>
      </c>
      <c r="V168" s="77"/>
      <c r="W168" s="77"/>
      <c r="X168" s="77"/>
    </row>
    <row r="169" spans="1:44" ht="19.7" customHeight="1" x14ac:dyDescent="0.25"/>
    <row r="170" spans="1:44" ht="19.7" customHeight="1" x14ac:dyDescent="0.25">
      <c r="O170" s="8"/>
      <c r="P170" s="78" t="s">
        <v>152</v>
      </c>
      <c r="Q170" s="78"/>
      <c r="R170" s="78">
        <f>0.9*U168</f>
        <v>1383.9144480000002</v>
      </c>
      <c r="S170" s="78"/>
      <c r="T170" s="78"/>
      <c r="U170" s="78"/>
      <c r="X170" s="8"/>
      <c r="Y170" s="8"/>
      <c r="Z170" s="29" t="e">
        <f>IF(AA170&lt;R170,"&lt;","&gt;")</f>
        <v>#VALUE!</v>
      </c>
      <c r="AA170" s="78" t="e">
        <f>AD107*100/(R19-R22)</f>
        <v>#VALUE!</v>
      </c>
      <c r="AB170" s="78"/>
      <c r="AC170" s="78"/>
      <c r="AD170" s="78"/>
    </row>
    <row r="171" spans="1:44" ht="19.7" customHeight="1" x14ac:dyDescent="0.25"/>
    <row r="172" spans="1:44" ht="19.7" customHeight="1" x14ac:dyDescent="0.25">
      <c r="B172" s="104" t="e">
        <f>IF(AA170&gt;R170,"برای تقویت بال ستون به یک جفت ورق پیوستگی نیاز است.","تعبیه ورق های پیوستگی در چشمه اتصال الزامی نیست.")</f>
        <v>#VALUE!</v>
      </c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</row>
    <row r="173" spans="1:44" ht="19.7" customHeight="1" x14ac:dyDescent="0.25"/>
    <row r="174" spans="1:44" ht="19.7" customHeight="1" x14ac:dyDescent="0.25">
      <c r="A174" s="63" t="s">
        <v>52</v>
      </c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5"/>
    </row>
    <row r="175" spans="1:44" ht="19.7" customHeight="1" x14ac:dyDescent="0.25">
      <c r="AC175" s="122" t="s">
        <v>73</v>
      </c>
      <c r="AD175" s="122"/>
      <c r="AE175" s="121">
        <f>R22</f>
        <v>1.8</v>
      </c>
      <c r="AF175" s="121"/>
    </row>
    <row r="176" spans="1:44" ht="19.7" customHeight="1" x14ac:dyDescent="0.25"/>
    <row r="177" spans="1:44" ht="19.7" customHeight="1" x14ac:dyDescent="0.25">
      <c r="Y177" s="78" t="s">
        <v>152</v>
      </c>
      <c r="Z177" s="78"/>
      <c r="AA177" s="78">
        <f>R6*MIN(R32,AO32)*(5*MIN(R34,AO34)+AE175)*0.00980665</f>
        <v>1549.6958662500001</v>
      </c>
      <c r="AB177" s="78"/>
      <c r="AC177" s="78"/>
      <c r="AD177" s="78"/>
    </row>
    <row r="178" spans="1:44" ht="19.7" customHeight="1" x14ac:dyDescent="0.25"/>
    <row r="179" spans="1:44" ht="19.7" customHeight="1" x14ac:dyDescent="0.25">
      <c r="Y179" s="78" t="s">
        <v>152</v>
      </c>
      <c r="Z179" s="78"/>
      <c r="AA179" s="78">
        <f>1*AA177</f>
        <v>1549.6958662500001</v>
      </c>
      <c r="AB179" s="78"/>
      <c r="AC179" s="78"/>
      <c r="AD179" s="78"/>
      <c r="AI179" s="29" t="e">
        <f>IF(AJ179&lt;AA179,"&lt;","&gt;")</f>
        <v>#VALUE!</v>
      </c>
      <c r="AJ179" s="78" t="e">
        <f>AA170</f>
        <v>#VALUE!</v>
      </c>
      <c r="AK179" s="78"/>
      <c r="AL179" s="78"/>
      <c r="AM179" s="78"/>
    </row>
    <row r="180" spans="1:44" ht="19.7" customHeight="1" x14ac:dyDescent="0.25"/>
    <row r="181" spans="1:44" ht="19.7" customHeight="1" x14ac:dyDescent="0.25">
      <c r="B181" s="104" t="e">
        <f>IF(AJ179&gt;AA179,"برای تقویت بال ستون به یک جفت ورق پیوستگی نیاز است.","تعبیه ورق های پیوستگی در چشمه اتصال الزامی نیست.")</f>
        <v>#VALUE!</v>
      </c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</row>
    <row r="182" spans="1:44" ht="19.7" customHeight="1" x14ac:dyDescent="0.25"/>
    <row r="183" spans="1:44" ht="19.7" customHeight="1" x14ac:dyDescent="0.25">
      <c r="A183" s="63" t="s">
        <v>53</v>
      </c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5"/>
    </row>
    <row r="184" spans="1:44" ht="19.7" customHeight="1" x14ac:dyDescent="0.25"/>
    <row r="185" spans="1:44" ht="19.7" customHeight="1" x14ac:dyDescent="0.25">
      <c r="AD185" s="123" t="s">
        <v>73</v>
      </c>
      <c r="AE185" s="123"/>
      <c r="AF185" s="78">
        <f>AE175</f>
        <v>1.8</v>
      </c>
      <c r="AG185" s="78"/>
    </row>
    <row r="186" spans="1:44" ht="19.7" customHeight="1" x14ac:dyDescent="0.25"/>
    <row r="187" spans="1:44" ht="19.7" customHeight="1" x14ac:dyDescent="0.25">
      <c r="L187" s="78" t="s">
        <v>152</v>
      </c>
      <c r="M187" s="78"/>
      <c r="N187" s="78">
        <f>MIN(0.8*(R32^2)*SQRT(R4*R6*R33/R32)*(1+3*(AF185/R30)*(R32/R33)^1.5),0.8*(AO32^2)*SQRT(R4*R6*AO33/AO32)*(1+3*(AF185/AO30)*(AO32/AO33)^1.5))*0.00980665</f>
        <v>4072.7657996612593</v>
      </c>
      <c r="O187" s="78"/>
      <c r="P187" s="78"/>
      <c r="Q187" s="78"/>
    </row>
    <row r="188" spans="1:44" ht="19.7" customHeight="1" x14ac:dyDescent="0.25"/>
    <row r="189" spans="1:44" ht="19.7" customHeight="1" x14ac:dyDescent="0.25">
      <c r="W189" s="79" t="s">
        <v>152</v>
      </c>
      <c r="X189" s="79"/>
      <c r="Y189" s="78">
        <f>0.75*N187</f>
        <v>3054.5743497459443</v>
      </c>
      <c r="Z189" s="78"/>
      <c r="AA189" s="78"/>
      <c r="AB189" s="78"/>
      <c r="AG189" s="29" t="e">
        <f>IF(AH189&lt;Y189,"&lt;","&gt;")</f>
        <v>#VALUE!</v>
      </c>
      <c r="AH189" s="78" t="e">
        <f>AA170</f>
        <v>#VALUE!</v>
      </c>
      <c r="AI189" s="78"/>
      <c r="AJ189" s="78"/>
      <c r="AK189" s="78"/>
    </row>
    <row r="190" spans="1:44" ht="19.7" customHeight="1" x14ac:dyDescent="0.25"/>
    <row r="191" spans="1:44" ht="19.7" customHeight="1" x14ac:dyDescent="0.25">
      <c r="B191" s="104" t="e">
        <f>IF(AH189&gt;Y189,"برای تقویت بال ستون به یک جفت ورق پیوستگی نیاز است.","تعبیه ورق های پیوستگی در چشمه اتصال الزامی نیست.")</f>
        <v>#VALUE!</v>
      </c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</row>
    <row r="192" spans="1:44" ht="19.7" customHeight="1" x14ac:dyDescent="0.25"/>
    <row r="193" spans="1:44" ht="19.7" customHeight="1" x14ac:dyDescent="0.25">
      <c r="A193" s="63" t="s">
        <v>54</v>
      </c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5"/>
    </row>
    <row r="194" spans="1:44" ht="19.7" customHeight="1" x14ac:dyDescent="0.25">
      <c r="A194" s="6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7"/>
      <c r="S194" s="27"/>
      <c r="T194" s="27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9.7" customHeight="1" x14ac:dyDescent="0.25">
      <c r="R195" s="81" t="s">
        <v>152</v>
      </c>
      <c r="S195" s="81"/>
      <c r="T195" s="124">
        <v>410</v>
      </c>
      <c r="U195" s="124"/>
      <c r="V195" s="124"/>
      <c r="W195" s="124"/>
    </row>
    <row r="196" spans="1:44" ht="19.7" customHeight="1" x14ac:dyDescent="0.25"/>
    <row r="197" spans="1:44" ht="19.7" customHeight="1" x14ac:dyDescent="0.25"/>
    <row r="198" spans="1:44" ht="19.7" customHeight="1" x14ac:dyDescent="0.25"/>
    <row r="199" spans="1:44" ht="19.7" customHeight="1" x14ac:dyDescent="0.25">
      <c r="W199" s="81" t="s">
        <v>178</v>
      </c>
      <c r="X199" s="81"/>
      <c r="Y199" s="77">
        <f>T195/(0.9*R6*0.00980665)</f>
        <v>18.960709629068052</v>
      </c>
      <c r="Z199" s="77"/>
      <c r="AA199" s="77"/>
      <c r="AB199" s="77"/>
    </row>
    <row r="200" spans="1:44" ht="19.7" customHeight="1" x14ac:dyDescent="0.25"/>
    <row r="201" spans="1:44" ht="19.7" customHeight="1" x14ac:dyDescent="0.25">
      <c r="AA201" s="79" t="s">
        <v>73</v>
      </c>
      <c r="AB201" s="79"/>
      <c r="AC201" s="78">
        <f>0.5*(MIN(R31-R32,AO31-AO32))</f>
        <v>21.25</v>
      </c>
      <c r="AD201" s="78"/>
      <c r="AE201" s="78"/>
      <c r="AF201" s="78"/>
    </row>
    <row r="202" spans="1:44" ht="19.7" customHeight="1" x14ac:dyDescent="0.25"/>
    <row r="203" spans="1:44" ht="19.7" customHeight="1" x14ac:dyDescent="0.25">
      <c r="T203" s="8"/>
      <c r="U203" s="8"/>
      <c r="V203" s="79" t="s">
        <v>73</v>
      </c>
      <c r="W203" s="79"/>
      <c r="X203" s="78">
        <f>MAX(MAX((R20/3)-(R32/2),(R20/2)),MAX((R20/3)-(AO32/2),(R20/2)))</f>
        <v>14</v>
      </c>
      <c r="Y203" s="78"/>
      <c r="Z203" s="78"/>
    </row>
    <row r="204" spans="1:44" ht="19.7" customHeight="1" x14ac:dyDescent="0.25"/>
    <row r="205" spans="1:44" ht="19.7" customHeight="1" x14ac:dyDescent="0.25">
      <c r="AH205" s="8"/>
      <c r="AI205" s="90" t="s">
        <v>73</v>
      </c>
      <c r="AJ205" s="91"/>
      <c r="AK205" s="89">
        <f>IF(ROUNDUP(X203,0)&lt;AC201,ROUNDUP(X203,0),X203)</f>
        <v>14</v>
      </c>
      <c r="AL205" s="89"/>
      <c r="AM205" s="89"/>
      <c r="AN205" s="43"/>
      <c r="AO205" s="43"/>
      <c r="AP205" s="44"/>
    </row>
    <row r="206" spans="1:44" ht="19.7" customHeight="1" x14ac:dyDescent="0.25"/>
    <row r="207" spans="1:44" ht="19.7" customHeight="1" x14ac:dyDescent="0.25">
      <c r="AC207" s="90" t="s">
        <v>73</v>
      </c>
      <c r="AD207" s="91"/>
      <c r="AE207" s="89">
        <f>MAX(R30-2*R33,AO30-2*AO33)</f>
        <v>70</v>
      </c>
      <c r="AF207" s="89"/>
      <c r="AG207" s="89"/>
      <c r="AH207" s="43"/>
      <c r="AI207" s="43"/>
      <c r="AJ207" s="43"/>
      <c r="AK207" s="43"/>
      <c r="AL207" s="43"/>
      <c r="AM207" s="43"/>
      <c r="AN207" s="43"/>
      <c r="AO207" s="43"/>
      <c r="AP207" s="44"/>
    </row>
    <row r="208" spans="1:44" ht="19.7" customHeight="1" x14ac:dyDescent="0.25"/>
    <row r="209" spans="1:44" ht="19.7" customHeight="1" x14ac:dyDescent="0.25">
      <c r="D209" s="95">
        <f>AK205/(0.55*SQRT(R4/R6))</f>
        <v>0.89090909090909076</v>
      </c>
      <c r="E209" s="95"/>
      <c r="F209" s="95"/>
      <c r="L209" s="79" t="s">
        <v>73</v>
      </c>
      <c r="M209" s="79"/>
      <c r="N209" s="92">
        <f>MAX(T195/(0.9*R6*2*AK205*0.00980665),T195/(0.6*0.9*R6*2*AE207*0.00980665),0.5*R22,AK205/16,AK205/(0.55*SQRT(R4/R6)))</f>
        <v>0.9</v>
      </c>
      <c r="O209" s="92"/>
      <c r="P209" s="92"/>
    </row>
    <row r="210" spans="1:44" ht="19.7" customHeight="1" x14ac:dyDescent="0.25"/>
    <row r="211" spans="1:44" ht="19.7" customHeight="1" x14ac:dyDescent="0.4">
      <c r="B211" s="97" t="str">
        <f>IF(AK211&lt;=10,B212,B213)</f>
        <v>از جوش گوشه دو طرفه برای اتصال ورق پیوستگی به بال ستون استفاده گردد</v>
      </c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B211" s="35" t="s">
        <v>181</v>
      </c>
      <c r="AF211" s="79" t="s">
        <v>182</v>
      </c>
      <c r="AG211" s="79"/>
      <c r="AH211" s="96">
        <v>10</v>
      </c>
      <c r="AI211" s="96"/>
      <c r="AJ211" s="34" t="str">
        <f>IF(AK211&lt;=10,AB211,"&gt;")</f>
        <v>≤</v>
      </c>
      <c r="AK211" s="93">
        <v>10</v>
      </c>
      <c r="AL211" s="94"/>
      <c r="AM211" s="94"/>
      <c r="AN211" s="43"/>
      <c r="AO211" s="43"/>
      <c r="AP211" s="44"/>
    </row>
    <row r="212" spans="1:44" ht="19.7" customHeight="1" x14ac:dyDescent="0.25">
      <c r="B212" s="39" t="s">
        <v>183</v>
      </c>
      <c r="I212" s="39" t="s">
        <v>185</v>
      </c>
    </row>
    <row r="213" spans="1:44" ht="19.7" customHeight="1" x14ac:dyDescent="0.25">
      <c r="B213" s="39" t="s">
        <v>184</v>
      </c>
      <c r="E213" s="87" t="str">
        <f>SUBSTITUTE(SUBSTITUTE(SUBSTITUTE(I212,"XXX",AE207*10),"YYY",AK205*10),"TT",AK211)</f>
        <v>700*140*10</v>
      </c>
      <c r="F213" s="88"/>
      <c r="G213" s="88"/>
      <c r="H213" s="88"/>
      <c r="I213" s="88"/>
      <c r="J213" s="88"/>
      <c r="K213" s="85" t="s">
        <v>186</v>
      </c>
      <c r="L213" s="85"/>
      <c r="M213" s="85"/>
      <c r="N213" s="85"/>
      <c r="O213" s="85"/>
      <c r="P213" s="85"/>
      <c r="Q213" s="86"/>
      <c r="R213" s="38"/>
      <c r="S213" s="38"/>
      <c r="W213" s="98" t="str">
        <f>IF(AL213&lt;=AC213,"OK","Not OK")</f>
        <v>OK</v>
      </c>
      <c r="X213" s="99"/>
      <c r="AB213" s="8"/>
      <c r="AC213" s="78">
        <f>ROUNDDOWN(0.55*SQRT(R4/R6),2)</f>
        <v>15.71</v>
      </c>
      <c r="AD213" s="78"/>
      <c r="AE213" s="78"/>
      <c r="AK213" s="8"/>
      <c r="AL213" s="84">
        <f>ROUNDUP(AK205*10/AK211,2)</f>
        <v>14</v>
      </c>
      <c r="AM213" s="84"/>
      <c r="AN213" s="84"/>
    </row>
    <row r="214" spans="1:44" ht="19.7" customHeight="1" x14ac:dyDescent="0.25"/>
    <row r="215" spans="1:44" ht="19.7" customHeight="1" x14ac:dyDescent="0.25"/>
    <row r="216" spans="1:44" ht="19.7" customHeight="1" x14ac:dyDescent="0.25">
      <c r="A216" s="63" t="s">
        <v>180</v>
      </c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5"/>
    </row>
    <row r="217" spans="1:44" ht="19.7" customHeight="1" x14ac:dyDescent="0.25"/>
    <row r="218" spans="1:44" ht="19.7" customHeight="1" x14ac:dyDescent="0.25">
      <c r="B218" s="81" t="s">
        <v>152</v>
      </c>
      <c r="C218" s="81"/>
      <c r="D218" s="77">
        <f>MIN(0.09*R6*4*AK205*AK211,0.09*0.6*R6*AE207*2*AK211,0.9*0.6*R6*MAX(R30*R32,AO30*AO32),Data!B8*R6*R20*R22+Data!B8*R6*AO20*AO22)*0.00980665</f>
        <v>1210.9251420000001</v>
      </c>
      <c r="E218" s="77"/>
      <c r="F218" s="77"/>
      <c r="G218" s="77"/>
    </row>
    <row r="219" spans="1:44" ht="19.7" customHeight="1" x14ac:dyDescent="0.25"/>
    <row r="220" spans="1:44" ht="19.7" customHeight="1" x14ac:dyDescent="0.25">
      <c r="C220" s="8"/>
      <c r="D220" s="81" t="s">
        <v>73</v>
      </c>
      <c r="E220" s="81"/>
      <c r="F220" s="77">
        <f>MAX(D218/(0.75*R16*0.6*R15*AE207*2*SQRT(2)*0.00980665),2*T195/(0.75*R16*0.6*R15*AE207*2*SQRT(2)*0.00980665))</f>
        <v>0.28284271247461895</v>
      </c>
      <c r="G220" s="77"/>
      <c r="H220" s="77"/>
      <c r="I220" s="77"/>
    </row>
    <row r="221" spans="1:44" ht="19.7" customHeight="1" x14ac:dyDescent="0.25"/>
    <row r="222" spans="1:44" ht="19.7" customHeight="1" x14ac:dyDescent="0.25">
      <c r="P222" s="79" t="s">
        <v>182</v>
      </c>
      <c r="Q222" s="79"/>
      <c r="R222" s="78">
        <f>IF(AH222&lt;=0.6,3,IF(AH222&lt;=1.2,5,IF(AH222&lt;=2,6,8)))</f>
        <v>5</v>
      </c>
      <c r="S222" s="78"/>
      <c r="AF222" s="79" t="s">
        <v>73</v>
      </c>
      <c r="AG222" s="79"/>
      <c r="AH222" s="78">
        <f>MIN(AK211/10,MAX(R32,AO32))</f>
        <v>1</v>
      </c>
      <c r="AI222" s="78"/>
    </row>
    <row r="223" spans="1:44" ht="19.7" customHeight="1" x14ac:dyDescent="0.25"/>
    <row r="224" spans="1:44" ht="19.7" customHeight="1" x14ac:dyDescent="0.25">
      <c r="F224" s="90" t="s">
        <v>182</v>
      </c>
      <c r="G224" s="91"/>
      <c r="H224" s="89">
        <v>5</v>
      </c>
      <c r="I224" s="89"/>
      <c r="J224" s="43"/>
      <c r="K224" s="44"/>
      <c r="P224" s="78" t="s">
        <v>182</v>
      </c>
      <c r="Q224" s="78"/>
      <c r="R224" s="78">
        <f>IF(AH222&lt;=0.6,AH222,AH222*10-2)</f>
        <v>8</v>
      </c>
      <c r="S224" s="78"/>
      <c r="AC224" s="78"/>
      <c r="AD224" s="78"/>
      <c r="AE224" s="78"/>
      <c r="AF224" s="78"/>
    </row>
    <row r="225" spans="1:44" ht="19.7" customHeight="1" x14ac:dyDescent="0.25"/>
    <row r="226" spans="1:44" ht="19.7" customHeight="1" x14ac:dyDescent="0.25"/>
    <row r="227" spans="1:44" ht="19.7" customHeight="1" x14ac:dyDescent="0.25">
      <c r="A227" s="63" t="s">
        <v>179</v>
      </c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5"/>
    </row>
    <row r="228" spans="1:44" ht="19.7" customHeight="1" x14ac:dyDescent="0.25"/>
    <row r="229" spans="1:44" ht="19.7" customHeight="1" x14ac:dyDescent="0.25">
      <c r="C229" s="8"/>
      <c r="D229" s="8"/>
      <c r="E229" s="8"/>
      <c r="F229" s="8"/>
      <c r="G229" s="8"/>
      <c r="H229" s="8"/>
    </row>
    <row r="230" spans="1:44" ht="19.7" customHeight="1" x14ac:dyDescent="0.25">
      <c r="D230" s="81" t="s">
        <v>73</v>
      </c>
      <c r="E230" s="81"/>
      <c r="F230" s="77">
        <f>MAX((0.09*R6*AK211)/(0.75*R16*1.5*0.6*R15*SQRT(2)),T195/(0.75*R16*1.5*0.6*R15*AK205*2*SQRT(2)*0.00980665))</f>
        <v>0.47140452079103173</v>
      </c>
      <c r="G230" s="77"/>
      <c r="H230" s="77"/>
      <c r="I230" s="77"/>
    </row>
    <row r="231" spans="1:44" ht="19.7" customHeight="1" x14ac:dyDescent="0.25">
      <c r="E231" s="8"/>
      <c r="F231" s="8"/>
      <c r="G231" s="8"/>
      <c r="H231" s="8"/>
      <c r="I231" s="8"/>
      <c r="J231" s="8"/>
    </row>
    <row r="232" spans="1:44" ht="19.7" customHeight="1" x14ac:dyDescent="0.25"/>
    <row r="233" spans="1:44" ht="19.7" customHeight="1" x14ac:dyDescent="0.25">
      <c r="P233" s="78" t="s">
        <v>182</v>
      </c>
      <c r="Q233" s="78"/>
      <c r="R233" s="78">
        <f>IF(AH233&lt;=0.6,3,IF(AH233&lt;=1.2,5,IF(AH233&lt;=2,6,8)))</f>
        <v>5</v>
      </c>
      <c r="S233" s="78"/>
      <c r="AF233" s="79" t="s">
        <v>73</v>
      </c>
      <c r="AG233" s="79"/>
      <c r="AH233" s="78">
        <f>MIN(AK211/10,MAX(R33,AO33))</f>
        <v>1</v>
      </c>
      <c r="AI233" s="78"/>
    </row>
    <row r="234" spans="1:44" ht="19.7" customHeight="1" x14ac:dyDescent="0.25"/>
    <row r="235" spans="1:44" ht="19.7" customHeight="1" x14ac:dyDescent="0.25">
      <c r="F235" s="90" t="s">
        <v>182</v>
      </c>
      <c r="G235" s="91"/>
      <c r="H235" s="89">
        <f>IF(ROUNDUP(F230*10,0)&lt;R233,R233,IF(ROUNDUP(F230*10,0)&gt;R235,R235,ROUNDUP(F230*10,0)))</f>
        <v>5</v>
      </c>
      <c r="I235" s="89"/>
      <c r="J235" s="43"/>
      <c r="K235" s="44"/>
      <c r="P235" s="78" t="s">
        <v>182</v>
      </c>
      <c r="Q235" s="78"/>
      <c r="R235" s="78">
        <f>IF(AH233&lt;=0.6,AH233,AH233*10-2)</f>
        <v>8</v>
      </c>
      <c r="S235" s="78"/>
      <c r="AD235" s="78"/>
      <c r="AE235" s="78"/>
      <c r="AF235" s="78"/>
      <c r="AG235" s="78"/>
    </row>
    <row r="236" spans="1:44" ht="19.7" customHeight="1" x14ac:dyDescent="0.25"/>
    <row r="237" spans="1:44" ht="19.7" customHeight="1" x14ac:dyDescent="0.25">
      <c r="A237" s="63" t="s">
        <v>57</v>
      </c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5"/>
    </row>
    <row r="238" spans="1:44" ht="19.7" customHeight="1" x14ac:dyDescent="0.25"/>
    <row r="239" spans="1:44" ht="19.7" customHeight="1" x14ac:dyDescent="0.25">
      <c r="G239" s="79" t="s">
        <v>152</v>
      </c>
      <c r="H239" s="79"/>
      <c r="I239" s="80">
        <f>MIN(E241,E242)</f>
        <v>2753.4131204999999</v>
      </c>
      <c r="J239" s="80"/>
      <c r="K239" s="80"/>
      <c r="L239" s="80"/>
      <c r="AD239" s="81"/>
      <c r="AE239" s="81"/>
      <c r="AF239" s="77"/>
      <c r="AG239" s="77"/>
      <c r="AH239" s="77"/>
      <c r="AI239" s="77"/>
    </row>
    <row r="240" spans="1:44" ht="19.7" customHeight="1" x14ac:dyDescent="0.25">
      <c r="AD240" s="36"/>
      <c r="AE240" s="36"/>
      <c r="AF240" s="37"/>
      <c r="AG240" s="37"/>
      <c r="AH240" s="37"/>
      <c r="AI240" s="37"/>
    </row>
    <row r="241" spans="2:35" ht="19.7" customHeight="1" x14ac:dyDescent="0.25">
      <c r="E241" s="66">
        <f>IF(J241&lt;=H241,F241,F241*G241)</f>
        <v>2753.4131204999999</v>
      </c>
      <c r="F241" s="66">
        <f>0.6*R6*(R30*R32)*0.00980665</f>
        <v>2753.4131204999999</v>
      </c>
      <c r="G241" s="66">
        <f>1.4-(J241/I241)</f>
        <v>1.3697598378764957</v>
      </c>
      <c r="H241" s="66">
        <f>0.4*I241</f>
        <v>453740</v>
      </c>
      <c r="I241" s="66">
        <f>((R30-2*R33)*R32+2*R31*R33)*R6</f>
        <v>1134350</v>
      </c>
      <c r="J241" s="66">
        <f>R40</f>
        <v>34302.927904796954</v>
      </c>
    </row>
    <row r="242" spans="2:35" ht="19.7" customHeight="1" x14ac:dyDescent="0.25">
      <c r="E242" s="66">
        <f>IF(J242&lt;=H242,F242,F242*G242)</f>
        <v>2753.4131204999999</v>
      </c>
      <c r="F242" s="66">
        <f>0.6*R6*(AO30*AO32)*0.00980665</f>
        <v>2753.4131204999999</v>
      </c>
      <c r="G242" s="66">
        <f>1.4-(J242/I242)</f>
        <v>1.3659433288871794</v>
      </c>
      <c r="H242" s="66">
        <f>0.4*I242</f>
        <v>453740</v>
      </c>
      <c r="I242" s="66">
        <f>((AO30-2*AO33)*AO32+2*AO31*AO33)*R6</f>
        <v>1134350</v>
      </c>
      <c r="J242" s="66">
        <f>AO40</f>
        <v>38632.184876827967</v>
      </c>
      <c r="AD242" s="81" t="s">
        <v>152</v>
      </c>
      <c r="AE242" s="81"/>
      <c r="AF242" s="83">
        <f>0.9*I239</f>
        <v>2478.0718084499999</v>
      </c>
      <c r="AG242" s="83"/>
      <c r="AH242" s="83"/>
      <c r="AI242" s="83"/>
    </row>
    <row r="243" spans="2:35" ht="19.7" customHeight="1" x14ac:dyDescent="0.25"/>
    <row r="244" spans="2:35" ht="19.7" customHeight="1" x14ac:dyDescent="0.25">
      <c r="AC244" s="79" t="s">
        <v>152</v>
      </c>
      <c r="AD244" s="79"/>
      <c r="AE244" s="92" t="e">
        <f>200*(AD91+AD97)/(R36+AO36)</f>
        <v>#VALUE!</v>
      </c>
      <c r="AF244" s="92"/>
      <c r="AG244" s="92"/>
      <c r="AH244" s="92"/>
    </row>
    <row r="245" spans="2:35" ht="19.7" customHeight="1" x14ac:dyDescent="0.25"/>
    <row r="246" spans="2:35" ht="19.7" customHeight="1" x14ac:dyDescent="0.4">
      <c r="X246" s="35" t="s">
        <v>181</v>
      </c>
    </row>
    <row r="247" spans="2:35" ht="19.7" customHeight="1" x14ac:dyDescent="0.25">
      <c r="AA247" s="37" t="e">
        <f>IF(AD247&lt;=AF242,X246,"&gt;")</f>
        <v>#VALUE!</v>
      </c>
      <c r="AB247" s="81" t="s">
        <v>152</v>
      </c>
      <c r="AC247" s="81"/>
      <c r="AD247" s="83" t="e">
        <f>(AD91*100/R19)+(AD97*100/AO19)-AE244</f>
        <v>#VALUE!</v>
      </c>
      <c r="AE247" s="77"/>
      <c r="AF247" s="77"/>
      <c r="AG247" s="77"/>
    </row>
    <row r="248" spans="2:35" ht="19.7" customHeight="1" x14ac:dyDescent="0.25"/>
    <row r="249" spans="2:35" ht="19.7" customHeight="1" x14ac:dyDescent="0.25">
      <c r="AC249" s="81" t="s">
        <v>152</v>
      </c>
      <c r="AD249" s="81"/>
      <c r="AE249" s="82" t="e">
        <f>IF(AD247-AF242&lt;=0,0,AD247-AF242)</f>
        <v>#VALUE!</v>
      </c>
      <c r="AF249" s="82"/>
      <c r="AG249" s="82"/>
      <c r="AH249" s="82"/>
    </row>
    <row r="250" spans="2:35" ht="19.7" customHeight="1" x14ac:dyDescent="0.25"/>
    <row r="251" spans="2:35" ht="19.7" customHeight="1" x14ac:dyDescent="0.25">
      <c r="Y251" s="81" t="s">
        <v>73</v>
      </c>
      <c r="Z251" s="81"/>
      <c r="AA251" s="77" t="e">
        <f>AE249/(2*0.9*0.6*R6*MIN(R30,AO30)*0.00980665)</f>
        <v>#VALUE!</v>
      </c>
      <c r="AB251" s="77"/>
      <c r="AC251" s="77"/>
    </row>
    <row r="252" spans="2:35" ht="19.7" customHeight="1" x14ac:dyDescent="0.25"/>
    <row r="253" spans="2:35" ht="19.7" customHeight="1" x14ac:dyDescent="0.25">
      <c r="B253" s="90" t="s">
        <v>73</v>
      </c>
      <c r="C253" s="91"/>
      <c r="D253" s="89" t="e">
        <f>IF(AE249&lt;=0,0,R19-2*AK211/10)</f>
        <v>#VALUE!</v>
      </c>
      <c r="E253" s="89"/>
      <c r="F253" s="89"/>
      <c r="G253" s="43"/>
      <c r="H253" s="40"/>
      <c r="I253" s="40"/>
      <c r="J253" s="40"/>
      <c r="K253" s="40"/>
      <c r="L253" s="43"/>
      <c r="M253" s="43"/>
      <c r="N253" s="40"/>
      <c r="O253" s="68"/>
      <c r="W253" s="117" t="s">
        <v>73</v>
      </c>
      <c r="X253" s="117"/>
      <c r="Y253" s="116">
        <f>MAX(R30-2*R34,AO30-2*AO34)</f>
        <v>66.800000000000011</v>
      </c>
      <c r="Z253" s="116"/>
      <c r="AA253" s="116"/>
    </row>
    <row r="254" spans="2:35" ht="19.7" customHeight="1" x14ac:dyDescent="0.25"/>
    <row r="255" spans="2:35" ht="19.7" customHeight="1" x14ac:dyDescent="0.25">
      <c r="AC255" s="79" t="s">
        <v>73</v>
      </c>
      <c r="AD255" s="79"/>
      <c r="AE255" s="78">
        <f>(Y253/1.1)*SQRT(R6/(R4*5))</f>
        <v>0.95053216934445617</v>
      </c>
      <c r="AF255" s="78"/>
      <c r="AG255" s="78"/>
    </row>
    <row r="256" spans="2:35" ht="19.7" customHeight="1" x14ac:dyDescent="0.25"/>
    <row r="257" spans="1:42" ht="19.7" customHeight="1" x14ac:dyDescent="0.25">
      <c r="H257" s="80"/>
      <c r="I257" s="80"/>
      <c r="J257" s="80"/>
      <c r="N257" s="79" t="s">
        <v>73</v>
      </c>
      <c r="O257" s="79"/>
      <c r="P257" s="78">
        <f>MAX(2*T195/(0.9*0.6*R6*AE207*4*0.00980665),2*T195/(0.9*0.6*R6*MIN(R30,AO31)*2*0.00980665))</f>
        <v>0.70224850478029832</v>
      </c>
      <c r="Q257" s="78"/>
      <c r="R257" s="78"/>
    </row>
    <row r="258" spans="1:42" ht="19.7" customHeight="1" x14ac:dyDescent="0.25"/>
    <row r="259" spans="1:42" ht="19.7" customHeight="1" x14ac:dyDescent="0.25"/>
    <row r="260" spans="1:42" ht="19.7" customHeight="1" x14ac:dyDescent="0.25">
      <c r="B260" s="81" t="s">
        <v>73</v>
      </c>
      <c r="C260" s="81"/>
      <c r="D260" s="77" t="e">
        <f>AF260</f>
        <v>#VALUE!</v>
      </c>
      <c r="E260" s="77"/>
      <c r="F260" s="77"/>
      <c r="P260" s="81" t="s">
        <v>73</v>
      </c>
      <c r="Q260" s="81"/>
      <c r="R260" s="125" t="e">
        <f>D253</f>
        <v>#VALUE!</v>
      </c>
      <c r="S260" s="124"/>
      <c r="T260" s="124"/>
      <c r="AD260" s="90" t="s">
        <v>73</v>
      </c>
      <c r="AE260" s="91"/>
      <c r="AF260" s="89" t="e">
        <f>IF(AE249&lt;=0,0,MIN(R30-2*R33,AO30-2*AO33))</f>
        <v>#VALUE!</v>
      </c>
      <c r="AG260" s="89"/>
      <c r="AH260" s="89"/>
      <c r="AI260" s="43"/>
      <c r="AJ260" s="40"/>
      <c r="AK260" s="40"/>
      <c r="AL260" s="40"/>
      <c r="AM260" s="40"/>
      <c r="AN260" s="43"/>
      <c r="AO260" s="43"/>
      <c r="AP260" s="67"/>
    </row>
    <row r="261" spans="1:42" ht="19.7" customHeight="1" x14ac:dyDescent="0.25"/>
    <row r="262" spans="1:42" ht="19.7" customHeight="1" x14ac:dyDescent="0.25">
      <c r="AH262" s="66" t="e">
        <f>IF(P264*10&lt;=5,5,IF(P264*10&lt;=6,6,IF(P264*10&lt;=8,8,IF(P264*10&lt;=10,10,IF(P264*10&lt;=12,12,IF(P264*10&lt;=15,15,IF(P264*10&lt;=20,20,IF(P264*10&lt;=25,25,30))))))))</f>
        <v>#VALUE!</v>
      </c>
      <c r="AJ262" s="90" t="s">
        <v>182</v>
      </c>
      <c r="AK262" s="91"/>
      <c r="AL262" s="89" t="e">
        <f>IF(AE249&lt;=0,0,AH262)</f>
        <v>#VALUE!</v>
      </c>
      <c r="AM262" s="89"/>
      <c r="AN262" s="43"/>
      <c r="AO262" s="43"/>
      <c r="AP262" s="67"/>
    </row>
    <row r="263" spans="1:42" ht="19.7" customHeight="1" x14ac:dyDescent="0.25">
      <c r="O263" s="39" t="e">
        <f>SUBSTITUTE(SUBSTITUTE(SUBSTITUTE(I212,"XXX",D253*10),"YYY",AF260*10),"TT",AL262)</f>
        <v>#VALUE!</v>
      </c>
    </row>
    <row r="264" spans="1:42" ht="19.7" customHeight="1" x14ac:dyDescent="0.25">
      <c r="C264" s="87" t="e">
        <f>IF(AE249&lt;=0,"None!",O263)</f>
        <v>#VALUE!</v>
      </c>
      <c r="D264" s="88"/>
      <c r="E264" s="88"/>
      <c r="F264" s="88"/>
      <c r="G264" s="88"/>
      <c r="H264" s="88"/>
      <c r="I264" s="85" t="s">
        <v>188</v>
      </c>
      <c r="J264" s="85"/>
      <c r="K264" s="85"/>
      <c r="L264" s="85"/>
      <c r="M264" s="85"/>
      <c r="N264" s="85"/>
      <c r="O264" s="86"/>
      <c r="P264" s="70" t="e">
        <f>MAX(AA251,AE255,P257,AC264)</f>
        <v>#VALUE!</v>
      </c>
      <c r="T264" s="69"/>
      <c r="U264" s="98" t="e">
        <f>IF(AC264&lt;=AL264,"OK","Not OK")</f>
        <v>#VALUE!</v>
      </c>
      <c r="V264" s="99"/>
      <c r="W264" s="14"/>
      <c r="X264" s="14"/>
      <c r="AA264" s="81" t="s">
        <v>73</v>
      </c>
      <c r="AB264" s="81"/>
      <c r="AC264" s="77" t="e">
        <f>(R260+D260)/90</f>
        <v>#VALUE!</v>
      </c>
      <c r="AD264" s="77"/>
      <c r="AE264" s="77"/>
      <c r="AL264" s="77" t="e">
        <f>AL262/10</f>
        <v>#VALUE!</v>
      </c>
      <c r="AM264" s="77"/>
      <c r="AN264" s="77"/>
    </row>
    <row r="265" spans="1:42" ht="19.7" customHeight="1" x14ac:dyDescent="0.25"/>
    <row r="266" spans="1:42" ht="19.7" customHeight="1" x14ac:dyDescent="0.25">
      <c r="A266" s="14" t="s">
        <v>189</v>
      </c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75" t="s">
        <v>73</v>
      </c>
      <c r="O266" s="76"/>
      <c r="P266" s="73">
        <f>IF(ROUNDUP(R20/6,0)&gt;ROUNDDOWN(R20/3,0),ROUNDDOWN(R20/3,0),ROUNDUP(R20/6,0))</f>
        <v>5</v>
      </c>
      <c r="Q266" s="73"/>
      <c r="R266" s="74"/>
    </row>
    <row r="267" spans="1:42" ht="19.7" customHeight="1" x14ac:dyDescent="0.25"/>
    <row r="268" spans="1:42" ht="19.7" customHeight="1" x14ac:dyDescent="0.25"/>
    <row r="269" spans="1:42" ht="19.7" customHeight="1" x14ac:dyDescent="0.25"/>
    <row r="270" spans="1:42" ht="19.7" customHeight="1" x14ac:dyDescent="0.25"/>
    <row r="271" spans="1:42" ht="19.7" customHeight="1" x14ac:dyDescent="0.25"/>
    <row r="272" spans="1:42" ht="19.7" customHeight="1" x14ac:dyDescent="0.25"/>
    <row r="273" ht="19.7" customHeight="1" x14ac:dyDescent="0.25"/>
    <row r="274" ht="19.7" customHeight="1" x14ac:dyDescent="0.25"/>
    <row r="275" ht="19.7" customHeight="1" x14ac:dyDescent="0.25"/>
    <row r="276" ht="19.7" customHeight="1" x14ac:dyDescent="0.25"/>
    <row r="277" ht="19.7" customHeight="1" x14ac:dyDescent="0.25"/>
    <row r="278" ht="19.7" customHeight="1" x14ac:dyDescent="0.25"/>
    <row r="279" ht="19.7" customHeight="1" x14ac:dyDescent="0.25"/>
    <row r="280" ht="19.7" customHeight="1" x14ac:dyDescent="0.25"/>
    <row r="281" ht="19.7" customHeight="1" x14ac:dyDescent="0.25"/>
    <row r="282" ht="19.7" customHeight="1" x14ac:dyDescent="0.25"/>
    <row r="283" ht="19.7" customHeight="1" x14ac:dyDescent="0.25"/>
    <row r="284" ht="19.7" customHeight="1" x14ac:dyDescent="0.25"/>
    <row r="285" ht="19.7" customHeight="1" x14ac:dyDescent="0.25"/>
    <row r="286" ht="19.7" customHeight="1" x14ac:dyDescent="0.25"/>
    <row r="287" ht="19.7" customHeight="1" x14ac:dyDescent="0.25"/>
    <row r="288" ht="19.7" customHeight="1" x14ac:dyDescent="0.25"/>
    <row r="289" ht="19.7" customHeight="1" x14ac:dyDescent="0.25"/>
    <row r="290" ht="19.7" customHeight="1" x14ac:dyDescent="0.25"/>
    <row r="291" ht="19.7" customHeight="1" x14ac:dyDescent="0.25"/>
    <row r="292" ht="19.7" customHeight="1" x14ac:dyDescent="0.25"/>
    <row r="293" ht="19.7" customHeight="1" x14ac:dyDescent="0.25"/>
    <row r="294" ht="19.7" customHeight="1" x14ac:dyDescent="0.25"/>
    <row r="295" ht="19.7" customHeight="1" x14ac:dyDescent="0.25"/>
    <row r="296" ht="19.7" customHeight="1" x14ac:dyDescent="0.25"/>
    <row r="297" ht="19.7" customHeight="1" x14ac:dyDescent="0.25"/>
    <row r="298" ht="19.7" customHeight="1" x14ac:dyDescent="0.25"/>
    <row r="299" ht="19.7" customHeight="1" x14ac:dyDescent="0.25"/>
    <row r="300" ht="19.7" customHeight="1" x14ac:dyDescent="0.25"/>
    <row r="301" ht="19.7" customHeight="1" x14ac:dyDescent="0.25"/>
    <row r="302" ht="19.7" customHeight="1" x14ac:dyDescent="0.25"/>
    <row r="303" ht="19.7" customHeight="1" x14ac:dyDescent="0.25"/>
    <row r="304" ht="19.7" customHeight="1" x14ac:dyDescent="0.25"/>
    <row r="305" ht="19.7" customHeight="1" x14ac:dyDescent="0.25"/>
    <row r="306" ht="19.7" customHeight="1" x14ac:dyDescent="0.25"/>
    <row r="307" ht="19.7" customHeight="1" x14ac:dyDescent="0.25"/>
    <row r="308" ht="19.7" customHeight="1" x14ac:dyDescent="0.25"/>
    <row r="309" ht="19.7" customHeight="1" x14ac:dyDescent="0.25"/>
    <row r="310" ht="19.7" customHeight="1" x14ac:dyDescent="0.25"/>
    <row r="311" ht="19.7" customHeight="1" x14ac:dyDescent="0.25"/>
    <row r="312" ht="19.7" customHeight="1" x14ac:dyDescent="0.25"/>
    <row r="313" ht="19.7" customHeight="1" x14ac:dyDescent="0.25"/>
    <row r="314" ht="19.7" customHeight="1" x14ac:dyDescent="0.25"/>
    <row r="315" ht="19.7" customHeight="1" x14ac:dyDescent="0.25"/>
    <row r="316" ht="19.7" customHeight="1" x14ac:dyDescent="0.25"/>
    <row r="317" ht="19.7" customHeight="1" x14ac:dyDescent="0.25"/>
    <row r="318" ht="19.7" customHeight="1" x14ac:dyDescent="0.25"/>
    <row r="319" ht="19.7" customHeight="1" x14ac:dyDescent="0.25"/>
    <row r="320" ht="19.7" customHeight="1" x14ac:dyDescent="0.25"/>
    <row r="321" ht="19.7" customHeight="1" x14ac:dyDescent="0.25"/>
    <row r="322" ht="19.7" customHeight="1" x14ac:dyDescent="0.25"/>
    <row r="323" ht="19.7" customHeight="1" x14ac:dyDescent="0.25"/>
    <row r="324" ht="19.7" customHeight="1" x14ac:dyDescent="0.25"/>
    <row r="325" ht="19.7" customHeight="1" x14ac:dyDescent="0.25"/>
    <row r="326" ht="19.7" customHeight="1" x14ac:dyDescent="0.25"/>
    <row r="327" ht="19.7" customHeight="1" x14ac:dyDescent="0.25"/>
    <row r="328" ht="19.7" customHeight="1" x14ac:dyDescent="0.25"/>
    <row r="329" ht="19.7" customHeight="1" x14ac:dyDescent="0.25"/>
    <row r="330" ht="19.7" customHeight="1" x14ac:dyDescent="0.25"/>
    <row r="331" ht="19.7" customHeight="1" x14ac:dyDescent="0.25"/>
    <row r="332" ht="19.7" customHeight="1" x14ac:dyDescent="0.25"/>
    <row r="333" ht="19.7" customHeight="1" x14ac:dyDescent="0.25"/>
    <row r="334" ht="19.7" customHeight="1" x14ac:dyDescent="0.25"/>
    <row r="335" ht="19.7" customHeight="1" x14ac:dyDescent="0.25"/>
    <row r="336" ht="19.7" customHeight="1" x14ac:dyDescent="0.25"/>
    <row r="337" ht="19.7" customHeight="1" x14ac:dyDescent="0.25"/>
    <row r="338" ht="19.7" customHeight="1" x14ac:dyDescent="0.25"/>
    <row r="339" ht="19.7" customHeight="1" x14ac:dyDescent="0.25"/>
    <row r="340" ht="19.7" customHeight="1" x14ac:dyDescent="0.25"/>
    <row r="341" ht="19.7" customHeight="1" x14ac:dyDescent="0.25"/>
    <row r="342" ht="19.7" customHeight="1" x14ac:dyDescent="0.25"/>
    <row r="343" ht="19.7" customHeight="1" x14ac:dyDescent="0.25"/>
    <row r="344" ht="19.7" customHeight="1" x14ac:dyDescent="0.25"/>
    <row r="345" ht="19.7" customHeight="1" x14ac:dyDescent="0.25"/>
    <row r="346" ht="19.7" customHeight="1" x14ac:dyDescent="0.25"/>
    <row r="347" ht="19.7" customHeight="1" x14ac:dyDescent="0.25"/>
    <row r="348" ht="19.7" customHeight="1" x14ac:dyDescent="0.25"/>
    <row r="349" ht="19.7" customHeight="1" x14ac:dyDescent="0.25"/>
    <row r="350" ht="19.7" customHeight="1" x14ac:dyDescent="0.25"/>
    <row r="351" ht="19.7" customHeight="1" x14ac:dyDescent="0.25"/>
    <row r="352" ht="19.7" customHeight="1" x14ac:dyDescent="0.25"/>
    <row r="353" ht="19.7" customHeight="1" x14ac:dyDescent="0.25"/>
    <row r="354" ht="19.7" customHeight="1" x14ac:dyDescent="0.25"/>
    <row r="355" ht="19.7" customHeight="1" x14ac:dyDescent="0.25"/>
    <row r="356" ht="19.7" customHeight="1" x14ac:dyDescent="0.25"/>
    <row r="357" ht="19.7" customHeight="1" x14ac:dyDescent="0.25"/>
    <row r="358" ht="19.7" customHeight="1" x14ac:dyDescent="0.25"/>
    <row r="359" ht="19.7" customHeight="1" x14ac:dyDescent="0.25"/>
    <row r="360" ht="19.7" customHeight="1" x14ac:dyDescent="0.25"/>
    <row r="361" ht="19.7" customHeight="1" x14ac:dyDescent="0.25"/>
    <row r="362" ht="19.7" customHeight="1" x14ac:dyDescent="0.25"/>
    <row r="363" ht="19.7" customHeight="1" x14ac:dyDescent="0.25"/>
    <row r="364" ht="19.7" customHeight="1" x14ac:dyDescent="0.25"/>
    <row r="365" ht="19.7" customHeight="1" x14ac:dyDescent="0.25"/>
    <row r="366" ht="19.7" customHeight="1" x14ac:dyDescent="0.25"/>
    <row r="367" ht="19.7" customHeight="1" x14ac:dyDescent="0.25"/>
    <row r="368" ht="19.7" customHeight="1" x14ac:dyDescent="0.25"/>
    <row r="369" ht="19.7" customHeight="1" x14ac:dyDescent="0.25"/>
    <row r="370" ht="19.7" customHeight="1" x14ac:dyDescent="0.25"/>
    <row r="371" ht="19.7" customHeight="1" x14ac:dyDescent="0.25"/>
    <row r="372" ht="19.7" customHeight="1" x14ac:dyDescent="0.25"/>
    <row r="373" ht="19.7" customHeight="1" x14ac:dyDescent="0.25"/>
    <row r="374" ht="19.7" customHeight="1" x14ac:dyDescent="0.25"/>
    <row r="375" ht="19.7" customHeight="1" x14ac:dyDescent="0.25"/>
    <row r="376" ht="19.7" customHeight="1" x14ac:dyDescent="0.25"/>
    <row r="377" ht="19.7" customHeight="1" x14ac:dyDescent="0.25"/>
    <row r="378" ht="19.7" customHeight="1" x14ac:dyDescent="0.25"/>
    <row r="379" ht="19.7" customHeight="1" x14ac:dyDescent="0.25"/>
    <row r="380" ht="19.7" customHeight="1" x14ac:dyDescent="0.25"/>
    <row r="381" ht="19.7" customHeight="1" x14ac:dyDescent="0.25"/>
    <row r="382" ht="19.7" customHeight="1" x14ac:dyDescent="0.25"/>
    <row r="383" ht="19.7" customHeight="1" x14ac:dyDescent="0.25"/>
    <row r="384" ht="19.7" customHeight="1" x14ac:dyDescent="0.25"/>
    <row r="385" ht="19.7" customHeight="1" x14ac:dyDescent="0.25"/>
    <row r="386" ht="19.7" customHeight="1" x14ac:dyDescent="0.25"/>
    <row r="387" ht="19.7" customHeight="1" x14ac:dyDescent="0.25"/>
    <row r="388" ht="19.7" customHeight="1" x14ac:dyDescent="0.25"/>
    <row r="389" ht="19.7" customHeight="1" x14ac:dyDescent="0.25"/>
    <row r="390" ht="19.7" customHeight="1" x14ac:dyDescent="0.25"/>
    <row r="391" ht="19.7" customHeight="1" x14ac:dyDescent="0.25"/>
    <row r="392" ht="19.7" customHeight="1" x14ac:dyDescent="0.25"/>
    <row r="393" ht="19.7" customHeight="1" x14ac:dyDescent="0.25"/>
    <row r="394" ht="19.7" customHeight="1" x14ac:dyDescent="0.25"/>
    <row r="395" ht="19.7" customHeight="1" x14ac:dyDescent="0.25"/>
    <row r="396" ht="19.7" customHeight="1" x14ac:dyDescent="0.25"/>
    <row r="397" ht="19.7" customHeight="1" x14ac:dyDescent="0.25"/>
    <row r="398" ht="19.7" customHeight="1" x14ac:dyDescent="0.25"/>
    <row r="399" ht="19.7" customHeight="1" x14ac:dyDescent="0.25"/>
    <row r="400" ht="19.7" customHeight="1" x14ac:dyDescent="0.25"/>
    <row r="401" ht="19.7" customHeight="1" x14ac:dyDescent="0.25"/>
    <row r="402" ht="19.7" customHeight="1" x14ac:dyDescent="0.25"/>
    <row r="403" ht="19.7" customHeight="1" x14ac:dyDescent="0.25"/>
    <row r="404" ht="19.7" customHeight="1" x14ac:dyDescent="0.25"/>
    <row r="405" ht="19.7" customHeight="1" x14ac:dyDescent="0.25"/>
    <row r="406" ht="19.7" customHeight="1" x14ac:dyDescent="0.25"/>
    <row r="407" ht="19.7" customHeight="1" x14ac:dyDescent="0.25"/>
    <row r="408" ht="19.7" customHeight="1" x14ac:dyDescent="0.25"/>
    <row r="409" ht="19.7" customHeight="1" x14ac:dyDescent="0.25"/>
    <row r="410" ht="19.7" customHeight="1" x14ac:dyDescent="0.25"/>
    <row r="411" ht="19.7" customHeight="1" x14ac:dyDescent="0.25"/>
    <row r="412" ht="19.7" customHeight="1" x14ac:dyDescent="0.25"/>
    <row r="413" ht="19.7" customHeight="1" x14ac:dyDescent="0.25"/>
    <row r="414" ht="19.7" customHeight="1" x14ac:dyDescent="0.25"/>
    <row r="415" ht="19.7" customHeight="1" x14ac:dyDescent="0.25"/>
    <row r="416" ht="19.7" customHeight="1" x14ac:dyDescent="0.25"/>
    <row r="417" ht="19.7" customHeight="1" x14ac:dyDescent="0.25"/>
    <row r="418" ht="19.7" customHeight="1" x14ac:dyDescent="0.25"/>
    <row r="419" ht="19.7" customHeight="1" x14ac:dyDescent="0.25"/>
    <row r="420" ht="19.7" customHeight="1" x14ac:dyDescent="0.25"/>
    <row r="421" ht="19.7" customHeight="1" x14ac:dyDescent="0.25"/>
    <row r="422" ht="19.7" customHeight="1" x14ac:dyDescent="0.25"/>
    <row r="423" ht="19.7" customHeight="1" x14ac:dyDescent="0.25"/>
    <row r="424" ht="19.7" customHeight="1" x14ac:dyDescent="0.25"/>
    <row r="425" ht="19.7" customHeight="1" x14ac:dyDescent="0.25"/>
    <row r="426" ht="19.7" customHeight="1" x14ac:dyDescent="0.25"/>
    <row r="427" ht="19.7" customHeight="1" x14ac:dyDescent="0.25"/>
    <row r="428" ht="19.7" customHeight="1" x14ac:dyDescent="0.25"/>
    <row r="429" ht="19.7" customHeight="1" x14ac:dyDescent="0.25"/>
    <row r="430" ht="19.7" customHeight="1" x14ac:dyDescent="0.25"/>
    <row r="431" ht="19.7" customHeight="1" x14ac:dyDescent="0.25"/>
    <row r="432" ht="19.7" customHeight="1" x14ac:dyDescent="0.25"/>
    <row r="433" ht="19.7" customHeight="1" x14ac:dyDescent="0.25"/>
    <row r="434" ht="19.7" customHeight="1" x14ac:dyDescent="0.25"/>
    <row r="435" ht="19.7" customHeight="1" x14ac:dyDescent="0.25"/>
    <row r="436" ht="19.7" customHeight="1" x14ac:dyDescent="0.25"/>
    <row r="437" ht="19.7" customHeight="1" x14ac:dyDescent="0.25"/>
    <row r="438" ht="19.7" customHeight="1" x14ac:dyDescent="0.25"/>
    <row r="439" ht="19.7" customHeight="1" x14ac:dyDescent="0.25"/>
    <row r="440" ht="19.7" customHeight="1" x14ac:dyDescent="0.25"/>
    <row r="441" ht="19.7" customHeight="1" x14ac:dyDescent="0.25"/>
    <row r="442" ht="19.7" customHeight="1" x14ac:dyDescent="0.25"/>
    <row r="443" ht="19.7" customHeight="1" x14ac:dyDescent="0.25"/>
    <row r="444" ht="19.7" customHeight="1" x14ac:dyDescent="0.25"/>
    <row r="445" ht="19.7" customHeight="1" x14ac:dyDescent="0.25"/>
    <row r="446" ht="19.7" customHeight="1" x14ac:dyDescent="0.25"/>
    <row r="447" ht="19.7" customHeight="1" x14ac:dyDescent="0.25"/>
    <row r="448" ht="19.7" customHeight="1" x14ac:dyDescent="0.25"/>
    <row r="449" ht="19.7" customHeight="1" x14ac:dyDescent="0.25"/>
    <row r="450" ht="19.7" customHeight="1" x14ac:dyDescent="0.25"/>
    <row r="451" ht="19.7" customHeight="1" x14ac:dyDescent="0.25"/>
    <row r="452" ht="19.7" customHeight="1" x14ac:dyDescent="0.25"/>
    <row r="453" ht="19.7" customHeight="1" x14ac:dyDescent="0.25"/>
    <row r="454" ht="19.7" customHeight="1" x14ac:dyDescent="0.25"/>
    <row r="455" ht="19.7" customHeight="1" x14ac:dyDescent="0.25"/>
    <row r="456" ht="19.7" customHeight="1" x14ac:dyDescent="0.25"/>
    <row r="457" ht="19.7" customHeight="1" x14ac:dyDescent="0.25"/>
    <row r="458" ht="19.7" customHeight="1" x14ac:dyDescent="0.25"/>
    <row r="459" ht="19.7" customHeight="1" x14ac:dyDescent="0.25"/>
    <row r="460" ht="19.7" customHeight="1" x14ac:dyDescent="0.25"/>
    <row r="461" ht="19.7" customHeight="1" x14ac:dyDescent="0.25"/>
    <row r="462" ht="19.7" customHeight="1" x14ac:dyDescent="0.25"/>
    <row r="463" ht="19.7" customHeight="1" x14ac:dyDescent="0.25"/>
    <row r="464" ht="19.7" customHeight="1" x14ac:dyDescent="0.25"/>
    <row r="465" ht="19.7" customHeight="1" x14ac:dyDescent="0.25"/>
    <row r="466" ht="19.7" customHeight="1" x14ac:dyDescent="0.25"/>
    <row r="467" ht="19.7" customHeight="1" x14ac:dyDescent="0.25"/>
    <row r="468" ht="19.7" customHeight="1" x14ac:dyDescent="0.25"/>
    <row r="469" ht="19.7" customHeight="1" x14ac:dyDescent="0.25"/>
    <row r="470" ht="19.7" customHeight="1" x14ac:dyDescent="0.25"/>
    <row r="471" ht="19.7" customHeight="1" x14ac:dyDescent="0.25"/>
    <row r="472" ht="19.7" customHeight="1" x14ac:dyDescent="0.25"/>
    <row r="473" ht="19.7" customHeight="1" x14ac:dyDescent="0.25"/>
    <row r="474" ht="19.7" customHeight="1" x14ac:dyDescent="0.25"/>
    <row r="475" ht="19.7" customHeight="1" x14ac:dyDescent="0.25"/>
    <row r="476" ht="19.7" customHeight="1" x14ac:dyDescent="0.25"/>
    <row r="477" ht="19.7" customHeight="1" x14ac:dyDescent="0.25"/>
    <row r="478" ht="19.7" customHeight="1" x14ac:dyDescent="0.25"/>
    <row r="479" ht="19.7" customHeight="1" x14ac:dyDescent="0.25"/>
    <row r="480" ht="19.7" customHeight="1" x14ac:dyDescent="0.25"/>
    <row r="481" ht="19.7" customHeight="1" x14ac:dyDescent="0.25"/>
    <row r="482" ht="19.7" customHeight="1" x14ac:dyDescent="0.25"/>
    <row r="483" ht="19.7" customHeight="1" x14ac:dyDescent="0.25"/>
    <row r="484" ht="19.7" customHeight="1" x14ac:dyDescent="0.25"/>
    <row r="485" ht="19.7" customHeight="1" x14ac:dyDescent="0.25"/>
    <row r="486" ht="19.7" customHeight="1" x14ac:dyDescent="0.25"/>
    <row r="487" ht="19.7" customHeight="1" x14ac:dyDescent="0.25"/>
    <row r="488" ht="19.7" customHeight="1" x14ac:dyDescent="0.25"/>
    <row r="489" ht="19.7" customHeight="1" x14ac:dyDescent="0.25"/>
    <row r="490" ht="19.7" customHeight="1" x14ac:dyDescent="0.25"/>
    <row r="491" ht="19.7" customHeight="1" x14ac:dyDescent="0.25"/>
    <row r="492" ht="19.7" customHeight="1" x14ac:dyDescent="0.25"/>
    <row r="493" ht="19.7" customHeight="1" x14ac:dyDescent="0.25"/>
    <row r="494" ht="19.7" customHeight="1" x14ac:dyDescent="0.25"/>
    <row r="495" ht="19.7" customHeight="1" x14ac:dyDescent="0.25"/>
    <row r="496" ht="19.7" customHeight="1" x14ac:dyDescent="0.25"/>
    <row r="497" ht="19.7" customHeight="1" x14ac:dyDescent="0.25"/>
    <row r="498" ht="19.7" customHeight="1" x14ac:dyDescent="0.25"/>
    <row r="499" ht="19.7" customHeight="1" x14ac:dyDescent="0.25"/>
    <row r="500" ht="19.7" customHeight="1" x14ac:dyDescent="0.25"/>
    <row r="501" ht="19.7" customHeight="1" x14ac:dyDescent="0.25"/>
    <row r="502" ht="19.7" customHeight="1" x14ac:dyDescent="0.25"/>
    <row r="503" ht="19.7" customHeight="1" x14ac:dyDescent="0.25"/>
    <row r="504" ht="19.7" customHeight="1" x14ac:dyDescent="0.25"/>
    <row r="505" ht="19.7" customHeight="1" x14ac:dyDescent="0.25"/>
    <row r="506" ht="19.7" customHeight="1" x14ac:dyDescent="0.25"/>
    <row r="507" ht="19.7" customHeight="1" x14ac:dyDescent="0.25"/>
    <row r="508" ht="19.7" customHeight="1" x14ac:dyDescent="0.25"/>
    <row r="509" ht="19.7" customHeight="1" x14ac:dyDescent="0.25"/>
    <row r="510" ht="19.7" customHeight="1" x14ac:dyDescent="0.25"/>
    <row r="511" ht="19.7" customHeight="1" x14ac:dyDescent="0.25"/>
    <row r="512" ht="19.7" customHeight="1" x14ac:dyDescent="0.25"/>
    <row r="513" ht="19.7" customHeight="1" x14ac:dyDescent="0.25"/>
    <row r="514" ht="19.7" customHeight="1" x14ac:dyDescent="0.25"/>
    <row r="515" ht="19.7" customHeight="1" x14ac:dyDescent="0.25"/>
    <row r="516" ht="19.7" customHeight="1" x14ac:dyDescent="0.25"/>
    <row r="517" ht="19.7" customHeight="1" x14ac:dyDescent="0.25"/>
    <row r="518" ht="19.7" customHeight="1" x14ac:dyDescent="0.25"/>
    <row r="519" ht="19.7" customHeight="1" x14ac:dyDescent="0.25"/>
    <row r="520" ht="19.7" customHeight="1" x14ac:dyDescent="0.25"/>
    <row r="521" ht="19.7" customHeight="1" x14ac:dyDescent="0.25"/>
    <row r="522" ht="19.7" customHeight="1" x14ac:dyDescent="0.25"/>
    <row r="523" ht="19.7" customHeight="1" x14ac:dyDescent="0.25"/>
    <row r="524" ht="19.7" customHeight="1" x14ac:dyDescent="0.25"/>
    <row r="525" ht="19.7" customHeight="1" x14ac:dyDescent="0.25"/>
    <row r="526" ht="19.7" customHeight="1" x14ac:dyDescent="0.25"/>
    <row r="527" ht="19.7" customHeight="1" x14ac:dyDescent="0.25"/>
    <row r="528" ht="19.7" customHeight="1" x14ac:dyDescent="0.25"/>
    <row r="529" ht="19.7" customHeight="1" x14ac:dyDescent="0.25"/>
    <row r="530" ht="19.7" customHeight="1" x14ac:dyDescent="0.25"/>
    <row r="531" ht="19.7" customHeight="1" x14ac:dyDescent="0.25"/>
    <row r="532" ht="19.7" customHeight="1" x14ac:dyDescent="0.25"/>
    <row r="533" ht="19.7" customHeight="1" x14ac:dyDescent="0.25"/>
    <row r="534" ht="19.7" customHeight="1" x14ac:dyDescent="0.25"/>
    <row r="535" ht="19.7" customHeight="1" x14ac:dyDescent="0.25"/>
    <row r="536" ht="19.7" customHeight="1" x14ac:dyDescent="0.25"/>
    <row r="537" ht="19.7" customHeight="1" x14ac:dyDescent="0.25"/>
    <row r="538" ht="19.7" customHeight="1" x14ac:dyDescent="0.25"/>
    <row r="539" ht="19.7" customHeight="1" x14ac:dyDescent="0.25"/>
    <row r="540" ht="19.7" customHeight="1" x14ac:dyDescent="0.25"/>
    <row r="541" ht="19.7" customHeight="1" x14ac:dyDescent="0.25"/>
    <row r="542" ht="19.7" customHeight="1" x14ac:dyDescent="0.25"/>
    <row r="543" ht="19.7" customHeight="1" x14ac:dyDescent="0.25"/>
    <row r="544" ht="19.7" customHeight="1" x14ac:dyDescent="0.25"/>
    <row r="545" ht="19.7" customHeight="1" x14ac:dyDescent="0.25"/>
    <row r="546" ht="19.7" customHeight="1" x14ac:dyDescent="0.25"/>
    <row r="547" ht="19.7" customHeight="1" x14ac:dyDescent="0.25"/>
    <row r="548" ht="19.7" customHeight="1" x14ac:dyDescent="0.25"/>
    <row r="549" ht="19.7" customHeight="1" x14ac:dyDescent="0.25"/>
    <row r="550" ht="19.7" customHeight="1" x14ac:dyDescent="0.25"/>
    <row r="551" ht="19.7" customHeight="1" x14ac:dyDescent="0.25"/>
    <row r="552" ht="19.7" customHeight="1" x14ac:dyDescent="0.25"/>
    <row r="553" ht="19.7" customHeight="1" x14ac:dyDescent="0.25"/>
    <row r="554" ht="19.7" customHeight="1" x14ac:dyDescent="0.25"/>
    <row r="555" ht="19.7" customHeight="1" x14ac:dyDescent="0.25"/>
    <row r="556" ht="19.7" customHeight="1" x14ac:dyDescent="0.25"/>
    <row r="557" ht="19.7" customHeight="1" x14ac:dyDescent="0.25"/>
    <row r="558" ht="19.7" customHeight="1" x14ac:dyDescent="0.25"/>
    <row r="559" ht="19.7" customHeight="1" x14ac:dyDescent="0.25"/>
    <row r="560" ht="19.7" customHeight="1" x14ac:dyDescent="0.25"/>
    <row r="561" ht="19.7" customHeight="1" x14ac:dyDescent="0.25"/>
    <row r="562" ht="19.7" customHeight="1" x14ac:dyDescent="0.25"/>
    <row r="563" ht="19.7" customHeight="1" x14ac:dyDescent="0.25"/>
    <row r="564" ht="19.7" customHeight="1" x14ac:dyDescent="0.25"/>
    <row r="565" ht="19.7" customHeight="1" x14ac:dyDescent="0.25"/>
    <row r="566" ht="19.7" customHeight="1" x14ac:dyDescent="0.25"/>
    <row r="567" ht="19.7" customHeight="1" x14ac:dyDescent="0.25"/>
    <row r="568" ht="19.7" customHeight="1" x14ac:dyDescent="0.25"/>
    <row r="569" ht="19.7" customHeight="1" x14ac:dyDescent="0.25"/>
    <row r="570" ht="19.7" customHeight="1" x14ac:dyDescent="0.25"/>
    <row r="571" ht="19.7" customHeight="1" x14ac:dyDescent="0.25"/>
    <row r="572" ht="19.7" customHeight="1" x14ac:dyDescent="0.25"/>
    <row r="573" ht="19.7" customHeight="1" x14ac:dyDescent="0.25"/>
    <row r="574" ht="19.7" customHeight="1" x14ac:dyDescent="0.25"/>
    <row r="575" ht="19.7" customHeight="1" x14ac:dyDescent="0.25"/>
    <row r="576" ht="19.7" customHeight="1" x14ac:dyDescent="0.25"/>
    <row r="577" ht="19.7" customHeight="1" x14ac:dyDescent="0.25"/>
    <row r="578" ht="19.7" customHeight="1" x14ac:dyDescent="0.25"/>
    <row r="579" ht="19.7" customHeight="1" x14ac:dyDescent="0.25"/>
    <row r="580" ht="19.7" customHeight="1" x14ac:dyDescent="0.25"/>
    <row r="581" ht="19.7" customHeight="1" x14ac:dyDescent="0.25"/>
    <row r="582" ht="19.7" customHeight="1" x14ac:dyDescent="0.25"/>
    <row r="583" ht="19.7" customHeight="1" x14ac:dyDescent="0.25"/>
    <row r="584" ht="19.7" customHeight="1" x14ac:dyDescent="0.25"/>
    <row r="585" ht="19.7" customHeight="1" x14ac:dyDescent="0.25"/>
    <row r="586" ht="19.7" customHeight="1" x14ac:dyDescent="0.25"/>
    <row r="587" ht="19.7" customHeight="1" x14ac:dyDescent="0.25"/>
    <row r="588" ht="19.7" customHeight="1" x14ac:dyDescent="0.25"/>
    <row r="589" ht="19.7" customHeight="1" x14ac:dyDescent="0.25"/>
    <row r="590" ht="19.7" customHeight="1" x14ac:dyDescent="0.25"/>
    <row r="591" ht="19.7" customHeight="1" x14ac:dyDescent="0.25"/>
    <row r="592" ht="19.7" customHeight="1" x14ac:dyDescent="0.25"/>
    <row r="593" ht="19.7" customHeight="1" x14ac:dyDescent="0.25"/>
    <row r="594" ht="19.7" customHeight="1" x14ac:dyDescent="0.25"/>
    <row r="595" ht="19.7" customHeight="1" x14ac:dyDescent="0.25"/>
    <row r="596" ht="19.7" customHeight="1" x14ac:dyDescent="0.25"/>
    <row r="597" ht="19.7" customHeight="1" x14ac:dyDescent="0.25"/>
    <row r="598" ht="19.7" customHeight="1" x14ac:dyDescent="0.25"/>
    <row r="599" ht="19.7" customHeight="1" x14ac:dyDescent="0.25"/>
    <row r="600" ht="19.7" customHeight="1" x14ac:dyDescent="0.25"/>
    <row r="601" ht="19.7" customHeight="1" x14ac:dyDescent="0.25"/>
    <row r="602" ht="19.7" customHeight="1" x14ac:dyDescent="0.25"/>
    <row r="603" ht="19.7" customHeight="1" x14ac:dyDescent="0.25"/>
    <row r="604" ht="19.7" customHeight="1" x14ac:dyDescent="0.25"/>
    <row r="605" ht="19.7" customHeight="1" x14ac:dyDescent="0.25"/>
    <row r="606" ht="19.7" customHeight="1" x14ac:dyDescent="0.25"/>
    <row r="607" ht="19.7" customHeight="1" x14ac:dyDescent="0.25"/>
    <row r="608" ht="19.7" customHeight="1" x14ac:dyDescent="0.25"/>
    <row r="609" ht="19.7" customHeight="1" x14ac:dyDescent="0.25"/>
    <row r="610" ht="19.7" customHeight="1" x14ac:dyDescent="0.25"/>
    <row r="611" ht="19.7" customHeight="1" x14ac:dyDescent="0.25"/>
    <row r="612" ht="19.7" customHeight="1" x14ac:dyDescent="0.25"/>
    <row r="613" ht="19.7" customHeight="1" x14ac:dyDescent="0.25"/>
    <row r="614" ht="19.7" customHeight="1" x14ac:dyDescent="0.25"/>
    <row r="615" ht="19.7" customHeight="1" x14ac:dyDescent="0.25"/>
    <row r="616" ht="19.7" customHeight="1" x14ac:dyDescent="0.25"/>
    <row r="617" ht="19.7" customHeight="1" x14ac:dyDescent="0.25"/>
    <row r="618" ht="19.7" customHeight="1" x14ac:dyDescent="0.25"/>
    <row r="619" ht="19.7" customHeight="1" x14ac:dyDescent="0.25"/>
    <row r="620" ht="19.7" customHeight="1" x14ac:dyDescent="0.25"/>
    <row r="621" ht="19.7" customHeight="1" x14ac:dyDescent="0.25"/>
    <row r="622" ht="19.7" customHeight="1" x14ac:dyDescent="0.25"/>
    <row r="623" ht="19.7" customHeight="1" x14ac:dyDescent="0.25"/>
    <row r="624" ht="19.7" customHeight="1" x14ac:dyDescent="0.25"/>
    <row r="625" ht="19.7" customHeight="1" x14ac:dyDescent="0.25"/>
    <row r="626" ht="19.7" customHeight="1" x14ac:dyDescent="0.25"/>
    <row r="627" ht="19.7" customHeight="1" x14ac:dyDescent="0.25"/>
    <row r="628" ht="19.7" customHeight="1" x14ac:dyDescent="0.25"/>
    <row r="629" ht="19.7" customHeight="1" x14ac:dyDescent="0.25"/>
    <row r="630" ht="19.7" customHeight="1" x14ac:dyDescent="0.25"/>
    <row r="631" ht="19.7" customHeight="1" x14ac:dyDescent="0.25"/>
    <row r="632" ht="19.7" customHeight="1" x14ac:dyDescent="0.25"/>
    <row r="633" ht="19.7" customHeight="1" x14ac:dyDescent="0.25"/>
    <row r="634" ht="19.7" customHeight="1" x14ac:dyDescent="0.25"/>
    <row r="635" ht="19.7" customHeight="1" x14ac:dyDescent="0.25"/>
    <row r="636" ht="19.7" customHeight="1" x14ac:dyDescent="0.25"/>
    <row r="637" ht="19.7" customHeight="1" x14ac:dyDescent="0.25"/>
    <row r="638" ht="19.7" customHeight="1" x14ac:dyDescent="0.25"/>
    <row r="639" ht="19.7" customHeight="1" x14ac:dyDescent="0.25"/>
    <row r="640" ht="19.7" customHeight="1" x14ac:dyDescent="0.25"/>
    <row r="641" ht="19.7" customHeight="1" x14ac:dyDescent="0.25"/>
    <row r="642" ht="19.7" customHeight="1" x14ac:dyDescent="0.25"/>
    <row r="643" ht="19.7" customHeight="1" x14ac:dyDescent="0.25"/>
    <row r="644" ht="19.7" customHeight="1" x14ac:dyDescent="0.25"/>
    <row r="645" ht="19.7" customHeight="1" x14ac:dyDescent="0.25"/>
    <row r="646" ht="19.7" customHeight="1" x14ac:dyDescent="0.25"/>
    <row r="647" ht="19.7" customHeight="1" x14ac:dyDescent="0.25"/>
    <row r="648" ht="19.7" customHeight="1" x14ac:dyDescent="0.25"/>
    <row r="649" ht="19.7" customHeight="1" x14ac:dyDescent="0.25"/>
    <row r="650" ht="19.7" customHeight="1" x14ac:dyDescent="0.25"/>
    <row r="651" ht="19.7" customHeight="1" x14ac:dyDescent="0.25"/>
    <row r="652" ht="19.7" customHeight="1" x14ac:dyDescent="0.25"/>
    <row r="653" ht="19.7" customHeight="1" x14ac:dyDescent="0.25"/>
    <row r="654" ht="19.7" customHeight="1" x14ac:dyDescent="0.25"/>
    <row r="655" ht="19.7" customHeight="1" x14ac:dyDescent="0.25"/>
    <row r="656" ht="19.7" customHeight="1" x14ac:dyDescent="0.25"/>
    <row r="657" ht="19.7" customHeight="1" x14ac:dyDescent="0.25"/>
    <row r="658" ht="19.7" customHeight="1" x14ac:dyDescent="0.25"/>
    <row r="659" ht="19.7" customHeight="1" x14ac:dyDescent="0.25"/>
    <row r="660" ht="19.7" customHeight="1" x14ac:dyDescent="0.25"/>
    <row r="661" ht="19.7" customHeight="1" x14ac:dyDescent="0.25"/>
    <row r="662" ht="19.7" customHeight="1" x14ac:dyDescent="0.25"/>
    <row r="663" ht="19.7" customHeight="1" x14ac:dyDescent="0.25"/>
    <row r="664" ht="19.7" customHeight="1" x14ac:dyDescent="0.25"/>
    <row r="665" ht="19.7" customHeight="1" x14ac:dyDescent="0.25"/>
    <row r="666" ht="19.7" customHeight="1" x14ac:dyDescent="0.25"/>
    <row r="667" ht="19.7" customHeight="1" x14ac:dyDescent="0.25"/>
    <row r="668" ht="19.7" customHeight="1" x14ac:dyDescent="0.25"/>
    <row r="669" ht="19.7" customHeight="1" x14ac:dyDescent="0.25"/>
    <row r="670" ht="19.7" customHeight="1" x14ac:dyDescent="0.25"/>
    <row r="671" ht="19.7" customHeight="1" x14ac:dyDescent="0.25"/>
    <row r="672" ht="19.7" customHeight="1" x14ac:dyDescent="0.25"/>
    <row r="673" ht="19.7" customHeight="1" x14ac:dyDescent="0.25"/>
    <row r="674" ht="19.7" customHeight="1" x14ac:dyDescent="0.25"/>
    <row r="675" ht="19.7" customHeight="1" x14ac:dyDescent="0.25"/>
    <row r="676" ht="19.7" customHeight="1" x14ac:dyDescent="0.25"/>
    <row r="677" ht="19.7" customHeight="1" x14ac:dyDescent="0.25"/>
    <row r="678" ht="19.7" customHeight="1" x14ac:dyDescent="0.25"/>
    <row r="679" ht="19.7" customHeight="1" x14ac:dyDescent="0.25"/>
    <row r="680" ht="19.7" customHeight="1" x14ac:dyDescent="0.25"/>
    <row r="681" ht="19.7" customHeight="1" x14ac:dyDescent="0.25"/>
    <row r="682" ht="19.7" customHeight="1" x14ac:dyDescent="0.25"/>
    <row r="683" ht="19.7" customHeight="1" x14ac:dyDescent="0.25"/>
    <row r="684" ht="19.7" customHeight="1" x14ac:dyDescent="0.25"/>
    <row r="685" ht="19.7" customHeight="1" x14ac:dyDescent="0.25"/>
    <row r="686" ht="19.7" customHeight="1" x14ac:dyDescent="0.25"/>
    <row r="687" ht="19.7" customHeight="1" x14ac:dyDescent="0.25"/>
    <row r="688" ht="19.7" customHeight="1" x14ac:dyDescent="0.25"/>
    <row r="689" ht="19.7" customHeight="1" x14ac:dyDescent="0.25"/>
    <row r="690" ht="19.7" customHeight="1" x14ac:dyDescent="0.25"/>
    <row r="691" ht="19.7" customHeight="1" x14ac:dyDescent="0.25"/>
    <row r="692" ht="19.7" customHeight="1" x14ac:dyDescent="0.25"/>
    <row r="693" ht="19.7" customHeight="1" x14ac:dyDescent="0.25"/>
    <row r="694" ht="19.7" customHeight="1" x14ac:dyDescent="0.25"/>
    <row r="695" ht="19.7" customHeight="1" x14ac:dyDescent="0.25"/>
    <row r="696" ht="19.7" customHeight="1" x14ac:dyDescent="0.25"/>
    <row r="697" ht="19.7" customHeight="1" x14ac:dyDescent="0.25"/>
    <row r="698" ht="19.7" customHeight="1" x14ac:dyDescent="0.25"/>
    <row r="699" ht="19.7" customHeight="1" x14ac:dyDescent="0.25"/>
    <row r="700" ht="19.7" customHeight="1" x14ac:dyDescent="0.25"/>
    <row r="701" ht="19.7" customHeight="1" x14ac:dyDescent="0.25"/>
    <row r="702" ht="19.7" customHeight="1" x14ac:dyDescent="0.25"/>
    <row r="703" ht="19.7" customHeight="1" x14ac:dyDescent="0.25"/>
    <row r="704" ht="19.7" customHeight="1" x14ac:dyDescent="0.25"/>
    <row r="705" ht="19.7" customHeight="1" x14ac:dyDescent="0.25"/>
    <row r="706" ht="19.7" customHeight="1" x14ac:dyDescent="0.25"/>
    <row r="707" ht="19.7" customHeight="1" x14ac:dyDescent="0.25"/>
    <row r="708" ht="19.7" customHeight="1" x14ac:dyDescent="0.25"/>
    <row r="709" ht="19.7" customHeight="1" x14ac:dyDescent="0.25"/>
    <row r="710" ht="19.7" customHeight="1" x14ac:dyDescent="0.25"/>
    <row r="711" ht="19.7" customHeight="1" x14ac:dyDescent="0.25"/>
    <row r="712" ht="19.7" customHeight="1" x14ac:dyDescent="0.25"/>
    <row r="713" ht="19.7" customHeight="1" x14ac:dyDescent="0.25"/>
    <row r="714" ht="19.7" customHeight="1" x14ac:dyDescent="0.25"/>
    <row r="715" ht="19.7" customHeight="1" x14ac:dyDescent="0.25"/>
    <row r="716" ht="19.7" customHeight="1" x14ac:dyDescent="0.25"/>
    <row r="717" ht="19.7" customHeight="1" x14ac:dyDescent="0.25"/>
    <row r="718" ht="19.7" customHeight="1" x14ac:dyDescent="0.25"/>
    <row r="719" ht="19.7" customHeight="1" x14ac:dyDescent="0.25"/>
    <row r="720" ht="19.7" customHeight="1" x14ac:dyDescent="0.25"/>
    <row r="721" ht="19.7" customHeight="1" x14ac:dyDescent="0.25"/>
    <row r="722" ht="19.7" customHeight="1" x14ac:dyDescent="0.25"/>
    <row r="723" ht="19.7" customHeight="1" x14ac:dyDescent="0.25"/>
    <row r="724" ht="19.7" customHeight="1" x14ac:dyDescent="0.25"/>
    <row r="725" ht="19.7" customHeight="1" x14ac:dyDescent="0.25"/>
    <row r="726" ht="19.7" customHeight="1" x14ac:dyDescent="0.25"/>
    <row r="727" ht="19.7" customHeight="1" x14ac:dyDescent="0.25"/>
    <row r="728" ht="19.7" customHeight="1" x14ac:dyDescent="0.25"/>
    <row r="729" ht="19.7" customHeight="1" x14ac:dyDescent="0.25"/>
    <row r="730" ht="19.7" customHeight="1" x14ac:dyDescent="0.25"/>
    <row r="731" ht="19.7" customHeight="1" x14ac:dyDescent="0.25"/>
    <row r="732" ht="19.7" customHeight="1" x14ac:dyDescent="0.25"/>
    <row r="733" ht="19.7" customHeight="1" x14ac:dyDescent="0.25"/>
    <row r="734" ht="19.7" customHeight="1" x14ac:dyDescent="0.25"/>
    <row r="735" ht="19.7" customHeight="1" x14ac:dyDescent="0.25"/>
    <row r="736" ht="19.7" customHeight="1" x14ac:dyDescent="0.25"/>
    <row r="737" ht="19.7" customHeight="1" x14ac:dyDescent="0.25"/>
    <row r="738" ht="19.7" customHeight="1" x14ac:dyDescent="0.25"/>
    <row r="739" ht="19.7" customHeight="1" x14ac:dyDescent="0.25"/>
    <row r="740" ht="19.7" customHeight="1" x14ac:dyDescent="0.25"/>
    <row r="741" ht="19.7" customHeight="1" x14ac:dyDescent="0.25"/>
    <row r="742" ht="19.7" customHeight="1" x14ac:dyDescent="0.25"/>
    <row r="743" ht="19.7" customHeight="1" x14ac:dyDescent="0.25"/>
    <row r="744" ht="19.7" customHeight="1" x14ac:dyDescent="0.25"/>
    <row r="745" ht="19.7" customHeight="1" x14ac:dyDescent="0.25"/>
    <row r="746" ht="19.7" customHeight="1" x14ac:dyDescent="0.25"/>
    <row r="747" ht="19.7" customHeight="1" x14ac:dyDescent="0.25"/>
    <row r="748" ht="19.7" customHeight="1" x14ac:dyDescent="0.25"/>
    <row r="749" ht="19.7" customHeight="1" x14ac:dyDescent="0.25"/>
    <row r="750" ht="19.7" customHeight="1" x14ac:dyDescent="0.25"/>
    <row r="751" ht="19.7" customHeight="1" x14ac:dyDescent="0.25"/>
    <row r="752" ht="19.7" customHeight="1" x14ac:dyDescent="0.25"/>
    <row r="753" ht="19.7" customHeight="1" x14ac:dyDescent="0.25"/>
    <row r="754" ht="19.7" customHeight="1" x14ac:dyDescent="0.25"/>
    <row r="755" ht="19.7" customHeight="1" x14ac:dyDescent="0.25"/>
    <row r="756" ht="19.7" customHeight="1" x14ac:dyDescent="0.25"/>
    <row r="757" ht="19.7" customHeight="1" x14ac:dyDescent="0.25"/>
    <row r="758" ht="19.7" customHeight="1" x14ac:dyDescent="0.25"/>
    <row r="759" ht="19.7" customHeight="1" x14ac:dyDescent="0.25"/>
    <row r="760" ht="19.7" customHeight="1" x14ac:dyDescent="0.25"/>
    <row r="761" ht="19.7" customHeight="1" x14ac:dyDescent="0.25"/>
    <row r="762" ht="19.7" customHeight="1" x14ac:dyDescent="0.25"/>
    <row r="763" ht="19.7" customHeight="1" x14ac:dyDescent="0.25"/>
    <row r="764" ht="19.7" customHeight="1" x14ac:dyDescent="0.25"/>
    <row r="765" ht="19.7" customHeight="1" x14ac:dyDescent="0.25"/>
    <row r="766" ht="19.7" customHeight="1" x14ac:dyDescent="0.25"/>
    <row r="767" ht="19.7" customHeight="1" x14ac:dyDescent="0.25"/>
    <row r="768" ht="19.7" customHeight="1" x14ac:dyDescent="0.25"/>
    <row r="769" ht="19.7" customHeight="1" x14ac:dyDescent="0.25"/>
    <row r="770" ht="19.7" customHeight="1" x14ac:dyDescent="0.25"/>
    <row r="771" ht="19.7" customHeight="1" x14ac:dyDescent="0.25"/>
    <row r="772" ht="19.7" customHeight="1" x14ac:dyDescent="0.25"/>
    <row r="773" ht="19.7" customHeight="1" x14ac:dyDescent="0.25"/>
    <row r="774" ht="19.7" customHeight="1" x14ac:dyDescent="0.25"/>
    <row r="775" ht="19.7" customHeight="1" x14ac:dyDescent="0.25"/>
    <row r="776" ht="19.7" customHeight="1" x14ac:dyDescent="0.25"/>
    <row r="777" ht="19.7" customHeight="1" x14ac:dyDescent="0.25"/>
    <row r="778" ht="19.7" customHeight="1" x14ac:dyDescent="0.25"/>
    <row r="779" ht="19.7" customHeight="1" x14ac:dyDescent="0.25"/>
    <row r="780" ht="19.7" customHeight="1" x14ac:dyDescent="0.25"/>
    <row r="781" ht="19.7" customHeight="1" x14ac:dyDescent="0.25"/>
    <row r="782" ht="19.7" customHeight="1" x14ac:dyDescent="0.25"/>
    <row r="783" ht="19.7" customHeight="1" x14ac:dyDescent="0.25"/>
    <row r="784" ht="19.7" customHeight="1" x14ac:dyDescent="0.25"/>
    <row r="785" ht="19.7" customHeight="1" x14ac:dyDescent="0.25"/>
    <row r="786" ht="19.7" customHeight="1" x14ac:dyDescent="0.25"/>
    <row r="787" ht="19.7" customHeight="1" x14ac:dyDescent="0.25"/>
    <row r="788" ht="19.7" customHeight="1" x14ac:dyDescent="0.25"/>
    <row r="789" ht="19.7" customHeight="1" x14ac:dyDescent="0.25"/>
    <row r="790" ht="19.7" customHeight="1" x14ac:dyDescent="0.25"/>
    <row r="791" ht="19.7" customHeight="1" x14ac:dyDescent="0.25"/>
    <row r="792" ht="19.7" customHeight="1" x14ac:dyDescent="0.25"/>
    <row r="793" ht="19.7" customHeight="1" x14ac:dyDescent="0.25"/>
    <row r="794" ht="19.7" customHeight="1" x14ac:dyDescent="0.25"/>
    <row r="795" ht="19.7" customHeight="1" x14ac:dyDescent="0.25"/>
    <row r="796" ht="19.7" customHeight="1" x14ac:dyDescent="0.25"/>
    <row r="797" ht="19.7" customHeight="1" x14ac:dyDescent="0.25"/>
    <row r="798" ht="19.7" customHeight="1" x14ac:dyDescent="0.25"/>
    <row r="799" ht="19.7" customHeight="1" x14ac:dyDescent="0.25"/>
    <row r="800" ht="19.7" customHeight="1" x14ac:dyDescent="0.25"/>
    <row r="801" ht="19.7" customHeight="1" x14ac:dyDescent="0.25"/>
    <row r="802" ht="19.7" customHeight="1" x14ac:dyDescent="0.25"/>
    <row r="803" ht="19.7" customHeight="1" x14ac:dyDescent="0.25"/>
    <row r="804" ht="19.7" customHeight="1" x14ac:dyDescent="0.25"/>
    <row r="805" ht="19.7" customHeight="1" x14ac:dyDescent="0.25"/>
    <row r="806" ht="19.7" customHeight="1" x14ac:dyDescent="0.25"/>
    <row r="807" ht="19.7" customHeight="1" x14ac:dyDescent="0.25"/>
    <row r="808" ht="19.7" customHeight="1" x14ac:dyDescent="0.25"/>
    <row r="809" ht="19.7" customHeight="1" x14ac:dyDescent="0.25"/>
    <row r="810" ht="19.7" customHeight="1" x14ac:dyDescent="0.25"/>
    <row r="811" ht="19.7" customHeight="1" x14ac:dyDescent="0.25"/>
    <row r="812" ht="19.7" customHeight="1" x14ac:dyDescent="0.25"/>
    <row r="813" ht="19.7" customHeight="1" x14ac:dyDescent="0.25"/>
    <row r="814" ht="19.7" customHeight="1" x14ac:dyDescent="0.25"/>
    <row r="815" ht="19.7" customHeight="1" x14ac:dyDescent="0.25"/>
    <row r="816" ht="19.7" customHeight="1" x14ac:dyDescent="0.25"/>
    <row r="817" ht="19.7" customHeight="1" x14ac:dyDescent="0.25"/>
    <row r="818" ht="19.7" customHeight="1" x14ac:dyDescent="0.25"/>
    <row r="819" ht="19.7" customHeight="1" x14ac:dyDescent="0.25"/>
    <row r="820" ht="19.7" customHeight="1" x14ac:dyDescent="0.25"/>
    <row r="821" ht="19.7" customHeight="1" x14ac:dyDescent="0.25"/>
    <row r="822" ht="19.7" customHeight="1" x14ac:dyDescent="0.25"/>
    <row r="823" ht="19.7" customHeight="1" x14ac:dyDescent="0.25"/>
    <row r="824" ht="19.7" customHeight="1" x14ac:dyDescent="0.25"/>
    <row r="825" ht="19.7" customHeight="1" x14ac:dyDescent="0.25"/>
    <row r="826" ht="19.7" customHeight="1" x14ac:dyDescent="0.25"/>
    <row r="827" ht="19.7" customHeight="1" x14ac:dyDescent="0.25"/>
    <row r="828" ht="19.7" customHeight="1" x14ac:dyDescent="0.25"/>
    <row r="829" ht="19.7" customHeight="1" x14ac:dyDescent="0.25"/>
    <row r="830" ht="19.7" customHeight="1" x14ac:dyDescent="0.25"/>
    <row r="831" ht="19.7" customHeight="1" x14ac:dyDescent="0.25"/>
    <row r="832" ht="19.7" customHeight="1" x14ac:dyDescent="0.25"/>
    <row r="833" ht="19.7" customHeight="1" x14ac:dyDescent="0.25"/>
    <row r="834" ht="19.7" customHeight="1" x14ac:dyDescent="0.25"/>
    <row r="835" ht="19.7" customHeight="1" x14ac:dyDescent="0.25"/>
    <row r="836" ht="19.7" customHeight="1" x14ac:dyDescent="0.25"/>
    <row r="837" ht="19.7" customHeight="1" x14ac:dyDescent="0.25"/>
    <row r="838" ht="19.7" customHeight="1" x14ac:dyDescent="0.25"/>
    <row r="839" ht="19.7" customHeight="1" x14ac:dyDescent="0.25"/>
    <row r="840" ht="19.7" customHeight="1" x14ac:dyDescent="0.25"/>
    <row r="841" ht="19.7" customHeight="1" x14ac:dyDescent="0.25"/>
    <row r="842" ht="19.7" customHeight="1" x14ac:dyDescent="0.25"/>
    <row r="843" ht="19.7" customHeight="1" x14ac:dyDescent="0.25"/>
    <row r="844" ht="19.7" customHeight="1" x14ac:dyDescent="0.25"/>
    <row r="845" ht="19.7" customHeight="1" x14ac:dyDescent="0.25"/>
    <row r="846" ht="19.7" customHeight="1" x14ac:dyDescent="0.25"/>
    <row r="847" ht="19.7" customHeight="1" x14ac:dyDescent="0.25"/>
    <row r="848" ht="19.7" customHeight="1" x14ac:dyDescent="0.25"/>
    <row r="849" ht="19.7" customHeight="1" x14ac:dyDescent="0.25"/>
    <row r="850" ht="19.7" customHeight="1" x14ac:dyDescent="0.25"/>
    <row r="851" ht="19.7" customHeight="1" x14ac:dyDescent="0.25"/>
    <row r="852" ht="19.7" customHeight="1" x14ac:dyDescent="0.25"/>
    <row r="853" ht="19.7" customHeight="1" x14ac:dyDescent="0.25"/>
    <row r="854" ht="19.7" customHeight="1" x14ac:dyDescent="0.25"/>
    <row r="855" ht="19.7" customHeight="1" x14ac:dyDescent="0.25"/>
    <row r="856" ht="19.7" customHeight="1" x14ac:dyDescent="0.25"/>
    <row r="857" ht="19.7" customHeight="1" x14ac:dyDescent="0.25"/>
    <row r="858" ht="19.7" customHeight="1" x14ac:dyDescent="0.25"/>
    <row r="859" ht="19.7" customHeight="1" x14ac:dyDescent="0.25"/>
    <row r="860" ht="19.7" customHeight="1" x14ac:dyDescent="0.25"/>
    <row r="861" ht="19.7" customHeight="1" x14ac:dyDescent="0.25"/>
    <row r="862" ht="19.7" customHeight="1" x14ac:dyDescent="0.25"/>
    <row r="863" ht="19.7" customHeight="1" x14ac:dyDescent="0.25"/>
    <row r="864" ht="19.7" customHeight="1" x14ac:dyDescent="0.25"/>
    <row r="865" ht="19.7" customHeight="1" x14ac:dyDescent="0.25"/>
    <row r="866" ht="19.7" customHeight="1" x14ac:dyDescent="0.25"/>
    <row r="867" ht="19.7" customHeight="1" x14ac:dyDescent="0.25"/>
    <row r="868" ht="19.7" customHeight="1" x14ac:dyDescent="0.25"/>
    <row r="869" ht="19.7" customHeight="1" x14ac:dyDescent="0.25"/>
    <row r="870" ht="19.7" customHeight="1" x14ac:dyDescent="0.25"/>
    <row r="871" ht="19.7" customHeight="1" x14ac:dyDescent="0.25"/>
    <row r="872" ht="19.7" customHeight="1" x14ac:dyDescent="0.25"/>
    <row r="873" ht="19.7" customHeight="1" x14ac:dyDescent="0.25"/>
    <row r="874" ht="19.7" customHeight="1" x14ac:dyDescent="0.25"/>
    <row r="875" ht="19.7" customHeight="1" x14ac:dyDescent="0.25"/>
    <row r="876" ht="19.7" customHeight="1" x14ac:dyDescent="0.25"/>
    <row r="877" ht="19.7" customHeight="1" x14ac:dyDescent="0.25"/>
    <row r="878" ht="19.7" customHeight="1" x14ac:dyDescent="0.25"/>
    <row r="879" ht="19.7" customHeight="1" x14ac:dyDescent="0.25"/>
    <row r="880" ht="19.7" customHeight="1" x14ac:dyDescent="0.25"/>
    <row r="881" ht="19.7" customHeight="1" x14ac:dyDescent="0.25"/>
    <row r="882" ht="19.7" customHeight="1" x14ac:dyDescent="0.25"/>
    <row r="883" ht="19.7" customHeight="1" x14ac:dyDescent="0.25"/>
    <row r="884" ht="19.7" customHeight="1" x14ac:dyDescent="0.25"/>
    <row r="885" ht="19.7" customHeight="1" x14ac:dyDescent="0.25"/>
    <row r="886" ht="19.7" customHeight="1" x14ac:dyDescent="0.25"/>
    <row r="887" ht="19.7" customHeight="1" x14ac:dyDescent="0.25"/>
    <row r="888" ht="19.7" customHeight="1" x14ac:dyDescent="0.25"/>
    <row r="889" ht="19.7" customHeight="1" x14ac:dyDescent="0.25"/>
    <row r="890" ht="19.7" customHeight="1" x14ac:dyDescent="0.25"/>
    <row r="891" ht="19.7" customHeight="1" x14ac:dyDescent="0.25"/>
    <row r="892" ht="19.7" customHeight="1" x14ac:dyDescent="0.25"/>
    <row r="893" ht="19.7" customHeight="1" x14ac:dyDescent="0.25"/>
    <row r="894" ht="19.7" customHeight="1" x14ac:dyDescent="0.25"/>
    <row r="895" ht="19.7" customHeight="1" x14ac:dyDescent="0.25"/>
    <row r="896" ht="19.7" customHeight="1" x14ac:dyDescent="0.25"/>
    <row r="897" ht="19.7" customHeight="1" x14ac:dyDescent="0.25"/>
    <row r="898" ht="19.7" customHeight="1" x14ac:dyDescent="0.25"/>
    <row r="899" ht="19.7" customHeight="1" x14ac:dyDescent="0.25"/>
    <row r="900" ht="19.7" customHeight="1" x14ac:dyDescent="0.25"/>
    <row r="901" ht="19.7" customHeight="1" x14ac:dyDescent="0.25"/>
    <row r="902" ht="19.7" customHeight="1" x14ac:dyDescent="0.25"/>
    <row r="903" ht="19.7" customHeight="1" x14ac:dyDescent="0.25"/>
    <row r="904" ht="19.7" customHeight="1" x14ac:dyDescent="0.25"/>
    <row r="905" ht="19.7" customHeight="1" x14ac:dyDescent="0.25"/>
    <row r="906" ht="19.7" customHeight="1" x14ac:dyDescent="0.25"/>
    <row r="907" ht="19.7" customHeight="1" x14ac:dyDescent="0.25"/>
    <row r="908" ht="19.7" customHeight="1" x14ac:dyDescent="0.25"/>
    <row r="909" ht="19.7" customHeight="1" x14ac:dyDescent="0.25"/>
    <row r="910" ht="19.7" customHeight="1" x14ac:dyDescent="0.25"/>
    <row r="911" ht="19.7" customHeight="1" x14ac:dyDescent="0.25"/>
    <row r="912" ht="19.7" customHeight="1" x14ac:dyDescent="0.25"/>
    <row r="913" ht="19.7" customHeight="1" x14ac:dyDescent="0.25"/>
    <row r="914" ht="19.7" customHeight="1" x14ac:dyDescent="0.25"/>
    <row r="915" ht="19.7" customHeight="1" x14ac:dyDescent="0.25"/>
    <row r="916" ht="19.7" customHeight="1" x14ac:dyDescent="0.25"/>
    <row r="917" ht="19.7" customHeight="1" x14ac:dyDescent="0.25"/>
    <row r="918" ht="19.7" customHeight="1" x14ac:dyDescent="0.25"/>
    <row r="919" ht="19.7" customHeight="1" x14ac:dyDescent="0.25"/>
    <row r="920" ht="19.7" customHeight="1" x14ac:dyDescent="0.25"/>
    <row r="921" ht="19.7" customHeight="1" x14ac:dyDescent="0.25"/>
    <row r="922" ht="19.7" customHeight="1" x14ac:dyDescent="0.25"/>
    <row r="923" ht="19.7" customHeight="1" x14ac:dyDescent="0.25"/>
    <row r="924" ht="19.7" customHeight="1" x14ac:dyDescent="0.25"/>
    <row r="925" ht="19.7" customHeight="1" x14ac:dyDescent="0.25"/>
    <row r="926" ht="19.7" customHeight="1" x14ac:dyDescent="0.25"/>
    <row r="927" ht="19.7" customHeight="1" x14ac:dyDescent="0.25"/>
    <row r="928" ht="19.7" customHeight="1" x14ac:dyDescent="0.25"/>
    <row r="929" ht="19.7" customHeight="1" x14ac:dyDescent="0.25"/>
    <row r="930" ht="19.7" customHeight="1" x14ac:dyDescent="0.25"/>
    <row r="931" ht="19.7" customHeight="1" x14ac:dyDescent="0.25"/>
    <row r="932" ht="19.7" customHeight="1" x14ac:dyDescent="0.25"/>
    <row r="933" ht="19.7" customHeight="1" x14ac:dyDescent="0.25"/>
    <row r="934" ht="19.7" customHeight="1" x14ac:dyDescent="0.25"/>
    <row r="935" ht="19.7" customHeight="1" x14ac:dyDescent="0.25"/>
    <row r="936" ht="19.7" customHeight="1" x14ac:dyDescent="0.25"/>
    <row r="937" ht="19.7" customHeight="1" x14ac:dyDescent="0.25"/>
    <row r="938" ht="19.7" customHeight="1" x14ac:dyDescent="0.25"/>
    <row r="939" ht="19.7" customHeight="1" x14ac:dyDescent="0.25"/>
    <row r="940" ht="19.7" customHeight="1" x14ac:dyDescent="0.25"/>
    <row r="941" ht="19.7" customHeight="1" x14ac:dyDescent="0.25"/>
    <row r="942" ht="19.7" customHeight="1" x14ac:dyDescent="0.25"/>
    <row r="943" ht="19.7" customHeight="1" x14ac:dyDescent="0.25"/>
    <row r="944" ht="19.7" customHeight="1" x14ac:dyDescent="0.25"/>
    <row r="945" ht="19.7" customHeight="1" x14ac:dyDescent="0.25"/>
    <row r="946" ht="19.7" customHeight="1" x14ac:dyDescent="0.25"/>
    <row r="947" ht="19.7" customHeight="1" x14ac:dyDescent="0.25"/>
    <row r="948" ht="19.7" customHeight="1" x14ac:dyDescent="0.25"/>
    <row r="949" ht="19.7" customHeight="1" x14ac:dyDescent="0.25"/>
    <row r="950" ht="19.7" customHeight="1" x14ac:dyDescent="0.25"/>
    <row r="951" ht="19.7" customHeight="1" x14ac:dyDescent="0.25"/>
    <row r="952" ht="19.7" customHeight="1" x14ac:dyDescent="0.25"/>
    <row r="953" ht="19.7" customHeight="1" x14ac:dyDescent="0.25"/>
    <row r="954" ht="19.7" customHeight="1" x14ac:dyDescent="0.25"/>
    <row r="955" ht="19.7" customHeight="1" x14ac:dyDescent="0.25"/>
    <row r="956" ht="19.7" customHeight="1" x14ac:dyDescent="0.25"/>
    <row r="957" ht="19.7" customHeight="1" x14ac:dyDescent="0.25"/>
    <row r="958" ht="19.7" customHeight="1" x14ac:dyDescent="0.25"/>
    <row r="959" ht="19.7" customHeight="1" x14ac:dyDescent="0.25"/>
    <row r="960" ht="19.7" customHeight="1" x14ac:dyDescent="0.25"/>
    <row r="961" ht="19.7" customHeight="1" x14ac:dyDescent="0.25"/>
    <row r="962" ht="19.7" customHeight="1" x14ac:dyDescent="0.25"/>
    <row r="963" ht="19.7" customHeight="1" x14ac:dyDescent="0.25"/>
    <row r="964" ht="19.7" customHeight="1" x14ac:dyDescent="0.25"/>
    <row r="965" ht="19.7" customHeight="1" x14ac:dyDescent="0.25"/>
    <row r="966" ht="19.7" customHeight="1" x14ac:dyDescent="0.25"/>
    <row r="967" ht="19.7" customHeight="1" x14ac:dyDescent="0.25"/>
    <row r="968" ht="19.7" customHeight="1" x14ac:dyDescent="0.25"/>
    <row r="969" ht="19.7" customHeight="1" x14ac:dyDescent="0.25"/>
    <row r="970" ht="19.7" customHeight="1" x14ac:dyDescent="0.25"/>
    <row r="971" ht="19.7" customHeight="1" x14ac:dyDescent="0.25"/>
    <row r="972" ht="19.7" customHeight="1" x14ac:dyDescent="0.25"/>
    <row r="973" ht="19.7" customHeight="1" x14ac:dyDescent="0.25"/>
    <row r="974" ht="19.7" customHeight="1" x14ac:dyDescent="0.25"/>
    <row r="975" ht="19.7" customHeight="1" x14ac:dyDescent="0.25"/>
    <row r="976" ht="19.7" customHeight="1" x14ac:dyDescent="0.25"/>
    <row r="977" ht="19.7" customHeight="1" x14ac:dyDescent="0.25"/>
    <row r="978" ht="19.7" customHeight="1" x14ac:dyDescent="0.25"/>
    <row r="979" ht="19.7" customHeight="1" x14ac:dyDescent="0.25"/>
    <row r="980" ht="19.7" customHeight="1" x14ac:dyDescent="0.25"/>
    <row r="981" ht="19.7" customHeight="1" x14ac:dyDescent="0.25"/>
    <row r="982" ht="19.7" customHeight="1" x14ac:dyDescent="0.25"/>
    <row r="983" ht="19.7" customHeight="1" x14ac:dyDescent="0.25"/>
    <row r="984" ht="19.7" customHeight="1" x14ac:dyDescent="0.25"/>
    <row r="985" ht="19.7" customHeight="1" x14ac:dyDescent="0.25"/>
    <row r="986" ht="19.7" customHeight="1" x14ac:dyDescent="0.25"/>
    <row r="987" ht="19.7" customHeight="1" x14ac:dyDescent="0.25"/>
    <row r="988" ht="19.7" customHeight="1" x14ac:dyDescent="0.25"/>
    <row r="989" ht="19.7" customHeight="1" x14ac:dyDescent="0.25"/>
    <row r="990" ht="19.7" customHeight="1" x14ac:dyDescent="0.25"/>
    <row r="991" ht="19.7" customHeight="1" x14ac:dyDescent="0.25"/>
    <row r="992" ht="19.7" customHeight="1" x14ac:dyDescent="0.25"/>
    <row r="993" ht="19.7" customHeight="1" x14ac:dyDescent="0.25"/>
    <row r="994" ht="19.7" customHeight="1" x14ac:dyDescent="0.25"/>
    <row r="995" ht="19.7" customHeight="1" x14ac:dyDescent="0.25"/>
    <row r="996" ht="19.7" customHeight="1" x14ac:dyDescent="0.25"/>
    <row r="997" ht="19.7" customHeight="1" x14ac:dyDescent="0.25"/>
    <row r="998" ht="19.7" customHeight="1" x14ac:dyDescent="0.25"/>
    <row r="999" ht="19.7" customHeight="1" x14ac:dyDescent="0.25"/>
    <row r="1000" ht="19.7" customHeight="1" x14ac:dyDescent="0.25"/>
    <row r="1001" ht="19.7" customHeight="1" x14ac:dyDescent="0.25"/>
    <row r="1002" ht="19.7" customHeight="1" x14ac:dyDescent="0.25"/>
    <row r="1003" ht="19.7" customHeight="1" x14ac:dyDescent="0.25"/>
    <row r="1004" ht="19.7" customHeight="1" x14ac:dyDescent="0.25"/>
    <row r="1005" ht="19.7" customHeight="1" x14ac:dyDescent="0.25"/>
    <row r="1006" ht="19.7" customHeight="1" x14ac:dyDescent="0.25"/>
    <row r="1007" ht="19.7" customHeight="1" x14ac:dyDescent="0.25"/>
    <row r="1008" ht="19.7" customHeight="1" x14ac:dyDescent="0.25"/>
    <row r="1009" ht="19.7" customHeight="1" x14ac:dyDescent="0.25"/>
    <row r="1010" ht="19.7" customHeight="1" x14ac:dyDescent="0.25"/>
    <row r="1011" ht="19.7" customHeight="1" x14ac:dyDescent="0.25"/>
    <row r="1012" ht="19.7" customHeight="1" x14ac:dyDescent="0.25"/>
    <row r="1013" ht="19.7" customHeight="1" x14ac:dyDescent="0.25"/>
    <row r="1014" ht="19.7" customHeight="1" x14ac:dyDescent="0.25"/>
    <row r="1015" ht="19.7" customHeight="1" x14ac:dyDescent="0.25"/>
    <row r="1016" ht="19.7" customHeight="1" x14ac:dyDescent="0.25"/>
    <row r="1017" ht="19.7" customHeight="1" x14ac:dyDescent="0.25"/>
    <row r="1018" ht="19.7" customHeight="1" x14ac:dyDescent="0.25"/>
    <row r="1019" ht="19.7" customHeight="1" x14ac:dyDescent="0.25"/>
    <row r="1020" ht="19.7" customHeight="1" x14ac:dyDescent="0.25"/>
    <row r="1021" ht="19.7" customHeight="1" x14ac:dyDescent="0.25"/>
    <row r="1022" ht="19.7" customHeight="1" x14ac:dyDescent="0.25"/>
    <row r="1023" ht="19.7" customHeight="1" x14ac:dyDescent="0.25"/>
    <row r="1024" ht="19.7" customHeight="1" x14ac:dyDescent="0.25"/>
    <row r="1025" ht="19.7" customHeight="1" x14ac:dyDescent="0.25"/>
    <row r="1026" ht="19.7" customHeight="1" x14ac:dyDescent="0.25"/>
    <row r="1027" ht="19.7" customHeight="1" x14ac:dyDescent="0.25"/>
    <row r="1028" ht="19.7" customHeight="1" x14ac:dyDescent="0.25"/>
    <row r="1029" ht="19.7" customHeight="1" x14ac:dyDescent="0.25"/>
    <row r="1030" ht="19.7" customHeight="1" x14ac:dyDescent="0.25"/>
    <row r="1031" ht="19.7" customHeight="1" x14ac:dyDescent="0.25"/>
    <row r="1032" ht="19.7" customHeight="1" x14ac:dyDescent="0.25"/>
    <row r="1033" ht="19.7" customHeight="1" x14ac:dyDescent="0.25"/>
    <row r="1034" ht="19.7" customHeight="1" x14ac:dyDescent="0.25"/>
    <row r="1035" ht="19.7" customHeight="1" x14ac:dyDescent="0.25"/>
    <row r="1036" ht="19.7" customHeight="1" x14ac:dyDescent="0.25"/>
    <row r="1037" ht="19.7" customHeight="1" x14ac:dyDescent="0.25"/>
    <row r="1038" ht="19.7" customHeight="1" x14ac:dyDescent="0.25"/>
    <row r="1039" ht="19.7" customHeight="1" x14ac:dyDescent="0.25"/>
    <row r="1040" ht="19.7" customHeight="1" x14ac:dyDescent="0.25"/>
    <row r="1041" ht="19.7" customHeight="1" x14ac:dyDescent="0.25"/>
    <row r="1042" ht="19.7" customHeight="1" x14ac:dyDescent="0.25"/>
    <row r="1043" ht="19.7" customHeight="1" x14ac:dyDescent="0.25"/>
    <row r="1044" ht="19.7" customHeight="1" x14ac:dyDescent="0.25"/>
    <row r="1045" ht="19.7" customHeight="1" x14ac:dyDescent="0.25"/>
    <row r="1046" ht="19.7" customHeight="1" x14ac:dyDescent="0.25"/>
    <row r="1047" ht="19.7" customHeight="1" x14ac:dyDescent="0.25"/>
    <row r="1048" ht="19.7" customHeight="1" x14ac:dyDescent="0.25"/>
    <row r="1049" ht="19.7" customHeight="1" x14ac:dyDescent="0.25"/>
    <row r="1050" ht="19.7" customHeight="1" x14ac:dyDescent="0.25"/>
    <row r="1051" ht="19.7" customHeight="1" x14ac:dyDescent="0.25"/>
    <row r="1052" ht="19.7" customHeight="1" x14ac:dyDescent="0.25"/>
    <row r="1053" ht="19.7" customHeight="1" x14ac:dyDescent="0.25"/>
    <row r="1054" ht="19.7" customHeight="1" x14ac:dyDescent="0.25"/>
    <row r="1055" ht="19.7" customHeight="1" x14ac:dyDescent="0.25"/>
    <row r="1056" ht="19.7" customHeight="1" x14ac:dyDescent="0.25"/>
    <row r="1057" ht="19.7" customHeight="1" x14ac:dyDescent="0.25"/>
    <row r="1058" ht="19.7" customHeight="1" x14ac:dyDescent="0.25"/>
    <row r="1059" ht="19.7" customHeight="1" x14ac:dyDescent="0.25"/>
    <row r="1060" ht="19.7" customHeight="1" x14ac:dyDescent="0.25"/>
    <row r="1061" ht="19.7" customHeight="1" x14ac:dyDescent="0.25"/>
    <row r="1062" ht="19.7" customHeight="1" x14ac:dyDescent="0.25"/>
    <row r="1063" ht="19.7" customHeight="1" x14ac:dyDescent="0.25"/>
    <row r="1064" ht="19.7" customHeight="1" x14ac:dyDescent="0.25"/>
    <row r="1065" ht="19.7" customHeight="1" x14ac:dyDescent="0.25"/>
    <row r="1066" ht="19.7" customHeight="1" x14ac:dyDescent="0.25"/>
    <row r="1067" ht="19.7" customHeight="1" x14ac:dyDescent="0.25"/>
    <row r="1068" ht="19.7" customHeight="1" x14ac:dyDescent="0.25"/>
    <row r="1069" ht="19.7" customHeight="1" x14ac:dyDescent="0.25"/>
    <row r="1070" ht="19.7" customHeight="1" x14ac:dyDescent="0.25"/>
    <row r="1071" ht="19.7" customHeight="1" x14ac:dyDescent="0.25"/>
    <row r="1072" ht="19.7" customHeight="1" x14ac:dyDescent="0.25"/>
    <row r="1073" ht="19.7" customHeight="1" x14ac:dyDescent="0.25"/>
    <row r="1074" ht="19.7" customHeight="1" x14ac:dyDescent="0.25"/>
    <row r="1075" ht="19.7" customHeight="1" x14ac:dyDescent="0.25"/>
    <row r="1076" ht="19.7" customHeight="1" x14ac:dyDescent="0.25"/>
    <row r="1077" ht="19.7" customHeight="1" x14ac:dyDescent="0.25"/>
    <row r="1078" ht="19.7" customHeight="1" x14ac:dyDescent="0.25"/>
    <row r="1079" ht="19.7" customHeight="1" x14ac:dyDescent="0.25"/>
    <row r="1080" ht="19.7" customHeight="1" x14ac:dyDescent="0.25"/>
    <row r="1081" ht="19.7" customHeight="1" x14ac:dyDescent="0.25"/>
    <row r="1082" ht="19.7" customHeight="1" x14ac:dyDescent="0.25"/>
    <row r="1083" ht="19.7" customHeight="1" x14ac:dyDescent="0.25"/>
    <row r="1084" ht="19.7" customHeight="1" x14ac:dyDescent="0.25"/>
    <row r="1085" ht="19.7" customHeight="1" x14ac:dyDescent="0.25"/>
    <row r="1086" ht="19.7" customHeight="1" x14ac:dyDescent="0.25"/>
    <row r="1087" ht="19.7" customHeight="1" x14ac:dyDescent="0.25"/>
    <row r="1088" ht="19.7" customHeight="1" x14ac:dyDescent="0.25"/>
    <row r="1089" ht="19.7" customHeight="1" x14ac:dyDescent="0.25"/>
    <row r="1090" ht="19.7" customHeight="1" x14ac:dyDescent="0.25"/>
    <row r="1091" ht="19.7" customHeight="1" x14ac:dyDescent="0.25"/>
    <row r="1092" ht="19.7" customHeight="1" x14ac:dyDescent="0.25"/>
    <row r="1093" ht="19.7" customHeight="1" x14ac:dyDescent="0.25"/>
    <row r="1094" ht="19.7" customHeight="1" x14ac:dyDescent="0.25"/>
    <row r="1095" ht="19.7" customHeight="1" x14ac:dyDescent="0.25"/>
    <row r="1096" ht="19.7" customHeight="1" x14ac:dyDescent="0.25"/>
    <row r="1097" ht="19.7" customHeight="1" x14ac:dyDescent="0.25"/>
    <row r="1098" ht="19.7" customHeight="1" x14ac:dyDescent="0.25"/>
    <row r="1099" ht="19.7" customHeight="1" x14ac:dyDescent="0.25"/>
    <row r="1100" ht="19.7" customHeight="1" x14ac:dyDescent="0.25"/>
    <row r="1101" ht="19.7" customHeight="1" x14ac:dyDescent="0.25"/>
    <row r="1102" ht="19.7" customHeight="1" x14ac:dyDescent="0.25"/>
    <row r="1103" ht="19.7" customHeight="1" x14ac:dyDescent="0.25"/>
    <row r="1104" ht="19.7" customHeight="1" x14ac:dyDescent="0.25"/>
    <row r="1105" ht="19.7" customHeight="1" x14ac:dyDescent="0.25"/>
    <row r="1106" ht="19.7" customHeight="1" x14ac:dyDescent="0.25"/>
    <row r="1107" ht="19.7" customHeight="1" x14ac:dyDescent="0.25"/>
    <row r="1108" ht="19.7" customHeight="1" x14ac:dyDescent="0.25"/>
    <row r="1109" ht="19.7" customHeight="1" x14ac:dyDescent="0.25"/>
    <row r="1110" ht="19.7" customHeight="1" x14ac:dyDescent="0.25"/>
    <row r="1111" ht="19.7" customHeight="1" x14ac:dyDescent="0.25"/>
    <row r="1112" ht="19.7" customHeight="1" x14ac:dyDescent="0.25"/>
    <row r="1113" ht="19.7" customHeight="1" x14ac:dyDescent="0.25"/>
    <row r="1114" ht="19.7" customHeight="1" x14ac:dyDescent="0.25"/>
    <row r="1115" ht="19.7" customHeight="1" x14ac:dyDescent="0.25"/>
    <row r="1116" ht="19.7" customHeight="1" x14ac:dyDescent="0.25"/>
    <row r="1117" ht="19.7" customHeight="1" x14ac:dyDescent="0.25"/>
    <row r="1118" ht="19.7" customHeight="1" x14ac:dyDescent="0.25"/>
    <row r="1119" ht="19.7" customHeight="1" x14ac:dyDescent="0.25"/>
    <row r="1120" ht="19.7" customHeight="1" x14ac:dyDescent="0.25"/>
    <row r="1121" ht="19.7" customHeight="1" x14ac:dyDescent="0.25"/>
    <row r="1122" ht="19.7" customHeight="1" x14ac:dyDescent="0.25"/>
    <row r="1123" ht="19.7" customHeight="1" x14ac:dyDescent="0.25"/>
    <row r="1124" ht="19.7" customHeight="1" x14ac:dyDescent="0.25"/>
    <row r="1125" ht="19.7" customHeight="1" x14ac:dyDescent="0.25"/>
    <row r="1126" ht="19.7" customHeight="1" x14ac:dyDescent="0.25"/>
    <row r="1127" ht="19.7" customHeight="1" x14ac:dyDescent="0.25"/>
    <row r="1128" ht="19.7" customHeight="1" x14ac:dyDescent="0.25"/>
    <row r="1129" ht="19.7" customHeight="1" x14ac:dyDescent="0.25"/>
    <row r="1130" ht="19.7" customHeight="1" x14ac:dyDescent="0.25"/>
    <row r="1131" ht="19.7" customHeight="1" x14ac:dyDescent="0.25"/>
    <row r="1132" ht="19.7" customHeight="1" x14ac:dyDescent="0.25"/>
    <row r="1133" ht="19.7" customHeight="1" x14ac:dyDescent="0.25"/>
    <row r="1134" ht="19.7" customHeight="1" x14ac:dyDescent="0.25"/>
    <row r="1135" ht="19.7" customHeight="1" x14ac:dyDescent="0.25"/>
    <row r="1136" ht="19.7" customHeight="1" x14ac:dyDescent="0.25"/>
    <row r="1137" ht="19.7" customHeight="1" x14ac:dyDescent="0.25"/>
    <row r="1138" ht="19.7" customHeight="1" x14ac:dyDescent="0.25"/>
    <row r="1139" ht="19.7" customHeight="1" x14ac:dyDescent="0.25"/>
    <row r="1140" ht="19.7" customHeight="1" x14ac:dyDescent="0.25"/>
    <row r="1141" ht="19.7" customHeight="1" x14ac:dyDescent="0.25"/>
    <row r="1142" ht="19.7" customHeight="1" x14ac:dyDescent="0.25"/>
    <row r="1143" ht="19.7" customHeight="1" x14ac:dyDescent="0.25"/>
    <row r="1144" ht="19.7" customHeight="1" x14ac:dyDescent="0.25"/>
    <row r="1145" ht="19.7" customHeight="1" x14ac:dyDescent="0.25"/>
    <row r="1146" ht="19.7" customHeight="1" x14ac:dyDescent="0.25"/>
    <row r="1147" ht="19.7" customHeight="1" x14ac:dyDescent="0.25"/>
    <row r="1148" ht="19.7" customHeight="1" x14ac:dyDescent="0.25"/>
    <row r="1149" ht="19.7" customHeight="1" x14ac:dyDescent="0.25"/>
    <row r="1150" ht="19.7" customHeight="1" x14ac:dyDescent="0.25"/>
    <row r="1151" ht="19.7" customHeight="1" x14ac:dyDescent="0.25"/>
    <row r="1152" ht="19.7" customHeight="1" x14ac:dyDescent="0.25"/>
    <row r="1153" ht="19.7" customHeight="1" x14ac:dyDescent="0.25"/>
    <row r="1154" ht="19.7" customHeight="1" x14ac:dyDescent="0.25"/>
    <row r="1155" ht="19.7" customHeight="1" x14ac:dyDescent="0.25"/>
    <row r="1156" ht="19.7" customHeight="1" x14ac:dyDescent="0.25"/>
    <row r="1157" ht="19.7" customHeight="1" x14ac:dyDescent="0.25"/>
    <row r="1158" ht="19.7" customHeight="1" x14ac:dyDescent="0.25"/>
    <row r="1159" ht="19.7" customHeight="1" x14ac:dyDescent="0.25"/>
    <row r="1160" ht="19.7" customHeight="1" x14ac:dyDescent="0.25"/>
    <row r="1161" ht="19.7" customHeight="1" x14ac:dyDescent="0.25"/>
    <row r="1162" ht="19.7" customHeight="1" x14ac:dyDescent="0.25"/>
    <row r="1163" ht="19.7" customHeight="1" x14ac:dyDescent="0.25"/>
    <row r="1164" ht="19.7" customHeight="1" x14ac:dyDescent="0.25"/>
    <row r="1165" ht="19.7" customHeight="1" x14ac:dyDescent="0.25"/>
    <row r="1166" ht="19.7" customHeight="1" x14ac:dyDescent="0.25"/>
    <row r="1167" ht="19.7" customHeight="1" x14ac:dyDescent="0.25"/>
    <row r="1168" ht="19.7" customHeight="1" x14ac:dyDescent="0.25"/>
    <row r="1169" ht="19.7" customHeight="1" x14ac:dyDescent="0.25"/>
    <row r="1170" ht="19.7" customHeight="1" x14ac:dyDescent="0.25"/>
    <row r="1171" ht="19.7" customHeight="1" x14ac:dyDescent="0.25"/>
    <row r="1172" ht="19.7" customHeight="1" x14ac:dyDescent="0.25"/>
    <row r="1173" ht="19.7" customHeight="1" x14ac:dyDescent="0.25"/>
    <row r="1174" ht="19.7" customHeight="1" x14ac:dyDescent="0.25"/>
    <row r="1175" ht="19.7" customHeight="1" x14ac:dyDescent="0.25"/>
    <row r="1176" ht="19.7" customHeight="1" x14ac:dyDescent="0.25"/>
    <row r="1177" ht="19.7" customHeight="1" x14ac:dyDescent="0.25"/>
    <row r="1178" ht="19.7" customHeight="1" x14ac:dyDescent="0.25"/>
    <row r="1179" ht="19.7" customHeight="1" x14ac:dyDescent="0.25"/>
    <row r="1180" ht="19.7" customHeight="1" x14ac:dyDescent="0.25"/>
    <row r="1181" ht="19.7" customHeight="1" x14ac:dyDescent="0.25"/>
    <row r="1182" ht="19.7" customHeight="1" x14ac:dyDescent="0.25"/>
    <row r="1183" ht="19.7" customHeight="1" x14ac:dyDescent="0.25"/>
    <row r="1184" ht="19.7" customHeight="1" x14ac:dyDescent="0.25"/>
    <row r="1185" ht="19.7" customHeight="1" x14ac:dyDescent="0.25"/>
    <row r="1186" ht="19.7" customHeight="1" x14ac:dyDescent="0.25"/>
    <row r="1187" ht="19.7" customHeight="1" x14ac:dyDescent="0.25"/>
    <row r="1188" ht="19.7" customHeight="1" x14ac:dyDescent="0.25"/>
    <row r="1189" ht="19.7" customHeight="1" x14ac:dyDescent="0.25"/>
    <row r="1190" ht="19.7" customHeight="1" x14ac:dyDescent="0.25"/>
    <row r="1191" ht="19.7" customHeight="1" x14ac:dyDescent="0.25"/>
    <row r="1192" ht="19.7" customHeight="1" x14ac:dyDescent="0.25"/>
    <row r="1193" ht="19.7" customHeight="1" x14ac:dyDescent="0.25"/>
    <row r="1194" ht="19.7" customHeight="1" x14ac:dyDescent="0.25"/>
    <row r="1195" ht="19.7" customHeight="1" x14ac:dyDescent="0.25"/>
    <row r="1196" ht="19.7" customHeight="1" x14ac:dyDescent="0.25"/>
    <row r="1197" ht="19.7" customHeight="1" x14ac:dyDescent="0.25"/>
    <row r="1198" ht="19.7" customHeight="1" x14ac:dyDescent="0.25"/>
    <row r="1199" ht="19.7" customHeight="1" x14ac:dyDescent="0.25"/>
    <row r="1200" ht="19.7" customHeight="1" x14ac:dyDescent="0.25"/>
    <row r="1201" ht="19.7" customHeight="1" x14ac:dyDescent="0.25"/>
    <row r="1202" ht="19.7" customHeight="1" x14ac:dyDescent="0.25"/>
    <row r="1203" ht="19.7" customHeight="1" x14ac:dyDescent="0.25"/>
    <row r="1204" ht="19.7" customHeight="1" x14ac:dyDescent="0.25"/>
    <row r="1205" ht="19.7" customHeight="1" x14ac:dyDescent="0.25"/>
    <row r="1206" ht="19.7" customHeight="1" x14ac:dyDescent="0.25"/>
    <row r="1207" ht="19.7" customHeight="1" x14ac:dyDescent="0.25"/>
    <row r="1208" ht="19.7" customHeight="1" x14ac:dyDescent="0.25"/>
    <row r="1209" ht="19.7" customHeight="1" x14ac:dyDescent="0.25"/>
    <row r="1210" ht="19.7" customHeight="1" x14ac:dyDescent="0.25"/>
    <row r="1211" ht="19.7" customHeight="1" x14ac:dyDescent="0.25"/>
    <row r="1212" ht="19.7" customHeight="1" x14ac:dyDescent="0.25"/>
    <row r="1213" ht="19.7" customHeight="1" x14ac:dyDescent="0.25"/>
    <row r="1214" ht="19.7" customHeight="1" x14ac:dyDescent="0.25"/>
    <row r="1215" ht="19.7" customHeight="1" x14ac:dyDescent="0.25"/>
    <row r="1216" ht="19.7" customHeight="1" x14ac:dyDescent="0.25"/>
    <row r="1217" ht="19.7" customHeight="1" x14ac:dyDescent="0.25"/>
    <row r="1218" ht="19.7" customHeight="1" x14ac:dyDescent="0.25"/>
    <row r="1219" ht="19.7" customHeight="1" x14ac:dyDescent="0.25"/>
    <row r="1220" ht="19.7" customHeight="1" x14ac:dyDescent="0.25"/>
    <row r="1221" ht="19.7" customHeight="1" x14ac:dyDescent="0.25"/>
    <row r="1222" ht="19.7" customHeight="1" x14ac:dyDescent="0.25"/>
    <row r="1223" ht="19.7" customHeight="1" x14ac:dyDescent="0.25"/>
    <row r="1224" ht="19.7" customHeight="1" x14ac:dyDescent="0.25"/>
    <row r="1225" ht="19.7" customHeight="1" x14ac:dyDescent="0.25"/>
    <row r="1226" ht="19.7" customHeight="1" x14ac:dyDescent="0.25"/>
    <row r="1227" ht="19.7" customHeight="1" x14ac:dyDescent="0.25"/>
    <row r="1228" ht="19.7" customHeight="1" x14ac:dyDescent="0.25"/>
    <row r="1229" ht="19.7" customHeight="1" x14ac:dyDescent="0.25"/>
    <row r="1230" ht="19.7" customHeight="1" x14ac:dyDescent="0.25"/>
    <row r="1231" ht="19.7" customHeight="1" x14ac:dyDescent="0.25"/>
    <row r="1232" ht="19.7" customHeight="1" x14ac:dyDescent="0.25"/>
    <row r="1233" ht="19.7" customHeight="1" x14ac:dyDescent="0.25"/>
    <row r="1234" ht="19.7" customHeight="1" x14ac:dyDescent="0.25"/>
    <row r="1235" ht="19.7" customHeight="1" x14ac:dyDescent="0.25"/>
    <row r="1236" ht="19.7" customHeight="1" x14ac:dyDescent="0.25"/>
    <row r="1237" ht="19.7" customHeight="1" x14ac:dyDescent="0.25"/>
    <row r="1238" ht="19.7" customHeight="1" x14ac:dyDescent="0.25"/>
    <row r="1239" ht="19.7" customHeight="1" x14ac:dyDescent="0.25"/>
    <row r="1240" ht="19.7" customHeight="1" x14ac:dyDescent="0.25"/>
    <row r="1241" ht="19.7" customHeight="1" x14ac:dyDescent="0.25"/>
    <row r="1242" ht="19.7" customHeight="1" x14ac:dyDescent="0.25"/>
    <row r="1243" ht="19.7" customHeight="1" x14ac:dyDescent="0.25"/>
    <row r="1244" ht="19.7" customHeight="1" x14ac:dyDescent="0.25"/>
    <row r="1245" ht="19.7" customHeight="1" x14ac:dyDescent="0.25"/>
    <row r="1246" ht="19.7" customHeight="1" x14ac:dyDescent="0.25"/>
    <row r="1247" ht="19.7" customHeight="1" x14ac:dyDescent="0.25"/>
    <row r="1248" ht="19.7" customHeight="1" x14ac:dyDescent="0.25"/>
    <row r="1249" ht="19.7" customHeight="1" x14ac:dyDescent="0.25"/>
    <row r="1250" ht="19.7" customHeight="1" x14ac:dyDescent="0.25"/>
    <row r="1251" ht="19.7" customHeight="1" x14ac:dyDescent="0.25"/>
    <row r="1252" ht="19.7" customHeight="1" x14ac:dyDescent="0.25"/>
    <row r="1253" ht="19.7" customHeight="1" x14ac:dyDescent="0.25"/>
    <row r="1254" ht="19.7" customHeight="1" x14ac:dyDescent="0.25"/>
    <row r="1255" ht="19.7" customHeight="1" x14ac:dyDescent="0.25"/>
    <row r="1256" ht="19.7" customHeight="1" x14ac:dyDescent="0.25"/>
    <row r="1257" ht="19.7" customHeight="1" x14ac:dyDescent="0.25"/>
    <row r="1258" ht="19.7" customHeight="1" x14ac:dyDescent="0.25"/>
    <row r="1259" ht="19.7" customHeight="1" x14ac:dyDescent="0.25"/>
    <row r="1260" ht="19.7" customHeight="1" x14ac:dyDescent="0.25"/>
    <row r="1261" ht="19.7" customHeight="1" x14ac:dyDescent="0.25"/>
    <row r="1262" ht="19.7" customHeight="1" x14ac:dyDescent="0.25"/>
    <row r="1263" ht="19.7" customHeight="1" x14ac:dyDescent="0.25"/>
    <row r="1264" ht="19.7" customHeight="1" x14ac:dyDescent="0.25"/>
    <row r="1265" ht="19.7" customHeight="1" x14ac:dyDescent="0.25"/>
    <row r="1266" ht="19.7" customHeight="1" x14ac:dyDescent="0.25"/>
    <row r="1267" ht="19.7" customHeight="1" x14ac:dyDescent="0.25"/>
    <row r="1268" ht="19.7" customHeight="1" x14ac:dyDescent="0.25"/>
    <row r="1269" ht="19.7" customHeight="1" x14ac:dyDescent="0.25"/>
    <row r="1270" ht="19.7" customHeight="1" x14ac:dyDescent="0.25"/>
    <row r="1271" ht="19.7" customHeight="1" x14ac:dyDescent="0.25"/>
    <row r="1272" ht="19.7" customHeight="1" x14ac:dyDescent="0.25"/>
    <row r="1273" ht="19.7" customHeight="1" x14ac:dyDescent="0.25"/>
    <row r="1274" ht="19.7" customHeight="1" x14ac:dyDescent="0.25"/>
    <row r="1275" ht="19.7" customHeight="1" x14ac:dyDescent="0.25"/>
    <row r="1276" ht="19.7" customHeight="1" x14ac:dyDescent="0.25"/>
    <row r="1277" ht="19.7" customHeight="1" x14ac:dyDescent="0.25"/>
    <row r="1278" ht="19.7" customHeight="1" x14ac:dyDescent="0.25"/>
    <row r="1279" ht="19.7" customHeight="1" x14ac:dyDescent="0.25"/>
    <row r="1280" ht="19.7" customHeight="1" x14ac:dyDescent="0.25"/>
    <row r="1281" ht="19.7" customHeight="1" x14ac:dyDescent="0.25"/>
    <row r="1282" ht="19.7" customHeight="1" x14ac:dyDescent="0.25"/>
    <row r="1283" ht="19.7" customHeight="1" x14ac:dyDescent="0.25"/>
    <row r="1284" ht="19.7" customHeight="1" x14ac:dyDescent="0.25"/>
    <row r="1285" ht="19.7" customHeight="1" x14ac:dyDescent="0.25"/>
    <row r="1286" ht="19.7" customHeight="1" x14ac:dyDescent="0.25"/>
    <row r="1287" ht="19.7" customHeight="1" x14ac:dyDescent="0.25"/>
    <row r="1288" ht="19.7" customHeight="1" x14ac:dyDescent="0.25"/>
    <row r="1289" ht="19.7" customHeight="1" x14ac:dyDescent="0.25"/>
    <row r="1290" ht="19.7" customHeight="1" x14ac:dyDescent="0.25"/>
    <row r="1291" ht="19.7" customHeight="1" x14ac:dyDescent="0.25"/>
    <row r="1292" ht="19.7" customHeight="1" x14ac:dyDescent="0.25"/>
    <row r="1293" ht="19.7" customHeight="1" x14ac:dyDescent="0.25"/>
    <row r="1294" ht="19.7" customHeight="1" x14ac:dyDescent="0.25"/>
    <row r="1295" ht="19.7" customHeight="1" x14ac:dyDescent="0.25"/>
    <row r="1296" ht="19.7" customHeight="1" x14ac:dyDescent="0.25"/>
    <row r="1297" ht="19.7" customHeight="1" x14ac:dyDescent="0.25"/>
    <row r="1298" ht="19.7" customHeight="1" x14ac:dyDescent="0.25"/>
    <row r="1299" ht="19.7" customHeight="1" x14ac:dyDescent="0.25"/>
    <row r="1300" ht="19.7" customHeight="1" x14ac:dyDescent="0.25"/>
    <row r="1301" ht="19.7" customHeight="1" x14ac:dyDescent="0.25"/>
    <row r="1302" ht="19.7" customHeight="1" x14ac:dyDescent="0.25"/>
    <row r="1303" ht="19.7" customHeight="1" x14ac:dyDescent="0.25"/>
    <row r="1304" ht="19.7" customHeight="1" x14ac:dyDescent="0.25"/>
    <row r="1305" ht="19.7" customHeight="1" x14ac:dyDescent="0.25"/>
    <row r="1306" ht="19.7" customHeight="1" x14ac:dyDescent="0.25"/>
    <row r="1307" ht="19.7" customHeight="1" x14ac:dyDescent="0.25"/>
    <row r="1308" ht="19.7" customHeight="1" x14ac:dyDescent="0.25"/>
    <row r="1309" ht="19.7" customHeight="1" x14ac:dyDescent="0.25"/>
    <row r="1310" ht="19.7" customHeight="1" x14ac:dyDescent="0.25"/>
    <row r="1311" ht="19.7" customHeight="1" x14ac:dyDescent="0.25"/>
    <row r="1312" ht="19.7" customHeight="1" x14ac:dyDescent="0.25"/>
    <row r="1313" ht="19.7" customHeight="1" x14ac:dyDescent="0.25"/>
    <row r="1314" ht="19.7" customHeight="1" x14ac:dyDescent="0.25"/>
    <row r="1315" ht="19.7" customHeight="1" x14ac:dyDescent="0.25"/>
    <row r="1316" ht="19.7" customHeight="1" x14ac:dyDescent="0.25"/>
    <row r="1317" ht="19.7" customHeight="1" x14ac:dyDescent="0.25"/>
    <row r="1318" ht="19.7" customHeight="1" x14ac:dyDescent="0.25"/>
    <row r="1319" ht="19.7" customHeight="1" x14ac:dyDescent="0.25"/>
    <row r="1320" ht="19.7" customHeight="1" x14ac:dyDescent="0.25"/>
    <row r="1321" ht="19.7" customHeight="1" x14ac:dyDescent="0.25"/>
    <row r="1322" ht="19.7" customHeight="1" x14ac:dyDescent="0.25"/>
    <row r="1323" ht="19.7" customHeight="1" x14ac:dyDescent="0.25"/>
    <row r="1324" ht="19.7" customHeight="1" x14ac:dyDescent="0.25"/>
    <row r="1325" ht="19.7" customHeight="1" x14ac:dyDescent="0.25"/>
    <row r="1326" ht="19.7" customHeight="1" x14ac:dyDescent="0.25"/>
    <row r="1327" ht="19.7" customHeight="1" x14ac:dyDescent="0.25"/>
    <row r="1328" ht="19.7" customHeight="1" x14ac:dyDescent="0.25"/>
    <row r="1329" ht="19.7" customHeight="1" x14ac:dyDescent="0.25"/>
    <row r="1330" ht="19.7" customHeight="1" x14ac:dyDescent="0.25"/>
    <row r="1331" ht="19.7" customHeight="1" x14ac:dyDescent="0.25"/>
    <row r="1332" ht="19.7" customHeight="1" x14ac:dyDescent="0.25"/>
    <row r="1333" ht="19.7" customHeight="1" x14ac:dyDescent="0.25"/>
    <row r="1334" ht="19.7" customHeight="1" x14ac:dyDescent="0.25"/>
    <row r="1335" ht="19.7" customHeight="1" x14ac:dyDescent="0.25"/>
    <row r="1336" ht="19.7" customHeight="1" x14ac:dyDescent="0.25"/>
    <row r="1337" ht="19.7" customHeight="1" x14ac:dyDescent="0.25"/>
    <row r="1338" ht="19.7" customHeight="1" x14ac:dyDescent="0.25"/>
    <row r="1339" ht="19.7" customHeight="1" x14ac:dyDescent="0.25"/>
    <row r="1340" ht="19.7" customHeight="1" x14ac:dyDescent="0.25"/>
    <row r="1341" ht="19.7" customHeight="1" x14ac:dyDescent="0.25"/>
    <row r="1342" ht="19.7" customHeight="1" x14ac:dyDescent="0.25"/>
    <row r="1343" ht="19.7" customHeight="1" x14ac:dyDescent="0.25"/>
    <row r="1344" ht="19.7" customHeight="1" x14ac:dyDescent="0.25"/>
    <row r="1345" ht="19.7" customHeight="1" x14ac:dyDescent="0.25"/>
    <row r="1346" ht="19.7" customHeight="1" x14ac:dyDescent="0.25"/>
    <row r="1347" ht="19.7" customHeight="1" x14ac:dyDescent="0.25"/>
    <row r="1348" ht="19.7" customHeight="1" x14ac:dyDescent="0.25"/>
    <row r="1349" ht="19.7" customHeight="1" x14ac:dyDescent="0.25"/>
    <row r="1350" ht="19.7" customHeight="1" x14ac:dyDescent="0.25"/>
    <row r="1351" ht="19.7" customHeight="1" x14ac:dyDescent="0.25"/>
    <row r="1352" ht="19.7" customHeight="1" x14ac:dyDescent="0.25"/>
    <row r="1353" ht="19.7" customHeight="1" x14ac:dyDescent="0.25"/>
    <row r="1354" ht="19.7" customHeight="1" x14ac:dyDescent="0.25"/>
    <row r="1355" ht="19.7" customHeight="1" x14ac:dyDescent="0.25"/>
    <row r="1356" ht="19.7" customHeight="1" x14ac:dyDescent="0.25"/>
    <row r="1357" ht="19.7" customHeight="1" x14ac:dyDescent="0.25"/>
    <row r="1358" ht="19.7" customHeight="1" x14ac:dyDescent="0.25"/>
    <row r="1359" ht="19.7" customHeight="1" x14ac:dyDescent="0.25"/>
    <row r="1360" ht="19.7" customHeight="1" x14ac:dyDescent="0.25"/>
    <row r="1361" ht="19.7" customHeight="1" x14ac:dyDescent="0.25"/>
    <row r="1362" ht="19.7" customHeight="1" x14ac:dyDescent="0.25"/>
    <row r="1363" ht="19.7" customHeight="1" x14ac:dyDescent="0.25"/>
    <row r="1364" ht="19.7" customHeight="1" x14ac:dyDescent="0.25"/>
    <row r="1365" ht="19.7" customHeight="1" x14ac:dyDescent="0.25"/>
    <row r="1366" ht="19.7" customHeight="1" x14ac:dyDescent="0.25"/>
    <row r="1367" ht="19.7" customHeight="1" x14ac:dyDescent="0.25"/>
    <row r="1368" ht="19.7" customHeight="1" x14ac:dyDescent="0.25"/>
    <row r="1369" ht="19.7" customHeight="1" x14ac:dyDescent="0.25"/>
    <row r="1370" ht="19.7" customHeight="1" x14ac:dyDescent="0.25"/>
    <row r="1371" ht="19.7" customHeight="1" x14ac:dyDescent="0.25"/>
    <row r="1372" ht="19.7" customHeight="1" x14ac:dyDescent="0.25"/>
    <row r="1373" ht="19.7" customHeight="1" x14ac:dyDescent="0.25"/>
    <row r="1374" ht="19.7" customHeight="1" x14ac:dyDescent="0.25"/>
    <row r="1375" ht="19.7" customHeight="1" x14ac:dyDescent="0.25"/>
    <row r="1376" ht="19.7" customHeight="1" x14ac:dyDescent="0.25"/>
    <row r="1377" ht="19.7" customHeight="1" x14ac:dyDescent="0.25"/>
    <row r="1378" ht="19.7" customHeight="1" x14ac:dyDescent="0.25"/>
    <row r="1379" ht="19.7" customHeight="1" x14ac:dyDescent="0.25"/>
    <row r="1380" ht="19.7" customHeight="1" x14ac:dyDescent="0.25"/>
    <row r="1381" ht="19.7" customHeight="1" x14ac:dyDescent="0.25"/>
    <row r="1382" ht="19.7" customHeight="1" x14ac:dyDescent="0.25"/>
    <row r="1383" ht="19.7" customHeight="1" x14ac:dyDescent="0.25"/>
    <row r="1384" ht="19.7" customHeight="1" x14ac:dyDescent="0.25"/>
    <row r="1385" ht="19.7" customHeight="1" x14ac:dyDescent="0.25"/>
    <row r="1386" ht="19.7" customHeight="1" x14ac:dyDescent="0.25"/>
    <row r="1387" ht="19.7" customHeight="1" x14ac:dyDescent="0.25"/>
    <row r="1388" ht="19.7" customHeight="1" x14ac:dyDescent="0.25"/>
    <row r="1389" ht="19.7" customHeight="1" x14ac:dyDescent="0.25"/>
    <row r="1390" ht="19.7" customHeight="1" x14ac:dyDescent="0.25"/>
    <row r="1391" ht="19.7" customHeight="1" x14ac:dyDescent="0.25"/>
    <row r="1392" ht="19.7" customHeight="1" x14ac:dyDescent="0.25"/>
    <row r="1393" ht="19.7" customHeight="1" x14ac:dyDescent="0.25"/>
    <row r="1394" ht="19.7" customHeight="1" x14ac:dyDescent="0.25"/>
    <row r="1395" ht="19.7" customHeight="1" x14ac:dyDescent="0.25"/>
    <row r="1396" ht="19.7" customHeight="1" x14ac:dyDescent="0.25"/>
    <row r="1397" ht="19.7" customHeight="1" x14ac:dyDescent="0.25"/>
    <row r="1398" ht="19.7" customHeight="1" x14ac:dyDescent="0.25"/>
    <row r="1399" ht="19.7" customHeight="1" x14ac:dyDescent="0.25"/>
    <row r="1400" ht="19.7" customHeight="1" x14ac:dyDescent="0.25"/>
    <row r="1401" ht="19.7" customHeight="1" x14ac:dyDescent="0.25"/>
    <row r="1402" ht="19.7" customHeight="1" x14ac:dyDescent="0.25"/>
    <row r="1403" ht="19.7" customHeight="1" x14ac:dyDescent="0.25"/>
    <row r="1404" ht="19.7" customHeight="1" x14ac:dyDescent="0.25"/>
    <row r="1405" ht="19.7" customHeight="1" x14ac:dyDescent="0.25"/>
    <row r="1406" ht="19.7" customHeight="1" x14ac:dyDescent="0.25"/>
    <row r="1407" ht="19.7" customHeight="1" x14ac:dyDescent="0.25"/>
    <row r="1408" ht="19.7" customHeight="1" x14ac:dyDescent="0.25"/>
    <row r="1409" ht="19.7" customHeight="1" x14ac:dyDescent="0.25"/>
    <row r="1410" ht="19.7" customHeight="1" x14ac:dyDescent="0.25"/>
    <row r="1411" ht="19.7" customHeight="1" x14ac:dyDescent="0.25"/>
    <row r="1412" ht="19.7" customHeight="1" x14ac:dyDescent="0.25"/>
    <row r="1413" ht="19.7" customHeight="1" x14ac:dyDescent="0.25"/>
    <row r="1414" ht="19.7" customHeight="1" x14ac:dyDescent="0.25"/>
    <row r="1415" ht="19.7" customHeight="1" x14ac:dyDescent="0.25"/>
    <row r="1416" ht="19.7" customHeight="1" x14ac:dyDescent="0.25"/>
    <row r="1417" ht="19.7" customHeight="1" x14ac:dyDescent="0.25"/>
    <row r="1418" ht="19.7" customHeight="1" x14ac:dyDescent="0.25"/>
    <row r="1419" ht="19.7" customHeight="1" x14ac:dyDescent="0.25"/>
    <row r="1420" ht="19.7" customHeight="1" x14ac:dyDescent="0.25"/>
    <row r="1421" ht="19.7" customHeight="1" x14ac:dyDescent="0.25"/>
    <row r="1422" ht="19.7" customHeight="1" x14ac:dyDescent="0.25"/>
    <row r="1423" ht="19.7" customHeight="1" x14ac:dyDescent="0.25"/>
    <row r="1424" ht="19.7" customHeight="1" x14ac:dyDescent="0.25"/>
    <row r="1425" ht="19.7" customHeight="1" x14ac:dyDescent="0.25"/>
    <row r="1426" ht="19.7" customHeight="1" x14ac:dyDescent="0.25"/>
    <row r="1427" ht="19.7" customHeight="1" x14ac:dyDescent="0.25"/>
    <row r="1428" ht="19.7" customHeight="1" x14ac:dyDescent="0.25"/>
    <row r="1429" ht="19.7" customHeight="1" x14ac:dyDescent="0.25"/>
    <row r="1430" ht="19.7" customHeight="1" x14ac:dyDescent="0.25"/>
    <row r="1431" ht="19.7" customHeight="1" x14ac:dyDescent="0.25"/>
    <row r="1432" ht="19.7" customHeight="1" x14ac:dyDescent="0.25"/>
    <row r="1433" ht="19.7" customHeight="1" x14ac:dyDescent="0.25"/>
    <row r="1434" ht="19.7" customHeight="1" x14ac:dyDescent="0.25"/>
    <row r="1435" ht="19.7" customHeight="1" x14ac:dyDescent="0.25"/>
    <row r="1436" ht="19.7" customHeight="1" x14ac:dyDescent="0.25"/>
    <row r="1437" ht="19.7" customHeight="1" x14ac:dyDescent="0.25"/>
    <row r="1438" ht="19.7" customHeight="1" x14ac:dyDescent="0.25"/>
    <row r="1439" ht="19.7" customHeight="1" x14ac:dyDescent="0.25"/>
    <row r="1440" ht="19.7" customHeight="1" x14ac:dyDescent="0.25"/>
    <row r="1441" ht="19.7" customHeight="1" x14ac:dyDescent="0.25"/>
    <row r="1442" ht="19.7" customHeight="1" x14ac:dyDescent="0.25"/>
    <row r="1443" ht="19.7" customHeight="1" x14ac:dyDescent="0.25"/>
    <row r="1444" ht="19.7" customHeight="1" x14ac:dyDescent="0.25"/>
    <row r="1445" ht="19.7" customHeight="1" x14ac:dyDescent="0.25"/>
    <row r="1446" ht="19.7" customHeight="1" x14ac:dyDescent="0.25"/>
    <row r="1447" ht="19.7" customHeight="1" x14ac:dyDescent="0.25"/>
    <row r="1448" ht="19.7" customHeight="1" x14ac:dyDescent="0.25"/>
    <row r="1449" ht="19.7" customHeight="1" x14ac:dyDescent="0.25"/>
    <row r="1450" ht="19.7" customHeight="1" x14ac:dyDescent="0.25"/>
    <row r="1451" ht="19.7" customHeight="1" x14ac:dyDescent="0.25"/>
    <row r="1452" ht="19.7" customHeight="1" x14ac:dyDescent="0.25"/>
    <row r="1453" ht="19.7" customHeight="1" x14ac:dyDescent="0.25"/>
    <row r="1454" ht="19.7" customHeight="1" x14ac:dyDescent="0.25"/>
    <row r="1455" ht="19.7" customHeight="1" x14ac:dyDescent="0.25"/>
    <row r="1456" ht="19.7" customHeight="1" x14ac:dyDescent="0.25"/>
    <row r="1457" ht="19.7" customHeight="1" x14ac:dyDescent="0.25"/>
    <row r="1458" ht="19.7" customHeight="1" x14ac:dyDescent="0.25"/>
    <row r="1459" ht="19.7" customHeight="1" x14ac:dyDescent="0.25"/>
    <row r="1460" ht="19.7" customHeight="1" x14ac:dyDescent="0.25"/>
    <row r="1461" ht="19.7" customHeight="1" x14ac:dyDescent="0.25"/>
    <row r="1462" ht="19.7" customHeight="1" x14ac:dyDescent="0.25"/>
    <row r="1463" ht="19.7" customHeight="1" x14ac:dyDescent="0.25"/>
    <row r="1464" ht="19.7" customHeight="1" x14ac:dyDescent="0.25"/>
    <row r="1465" ht="19.7" customHeight="1" x14ac:dyDescent="0.25"/>
    <row r="1466" ht="19.7" customHeight="1" x14ac:dyDescent="0.25"/>
    <row r="1467" ht="19.7" customHeight="1" x14ac:dyDescent="0.25"/>
    <row r="1468" ht="19.7" customHeight="1" x14ac:dyDescent="0.25"/>
    <row r="1469" ht="19.7" customHeight="1" x14ac:dyDescent="0.25"/>
    <row r="1470" ht="19.7" customHeight="1" x14ac:dyDescent="0.25"/>
    <row r="1471" ht="19.7" customHeight="1" x14ac:dyDescent="0.25"/>
    <row r="1472" ht="19.7" customHeight="1" x14ac:dyDescent="0.25"/>
    <row r="1473" ht="19.7" customHeight="1" x14ac:dyDescent="0.25"/>
    <row r="1474" ht="19.7" customHeight="1" x14ac:dyDescent="0.25"/>
    <row r="1475" ht="19.7" customHeight="1" x14ac:dyDescent="0.25"/>
    <row r="1476" ht="19.7" customHeight="1" x14ac:dyDescent="0.25"/>
    <row r="1477" ht="19.7" customHeight="1" x14ac:dyDescent="0.25"/>
    <row r="1478" ht="19.7" customHeight="1" x14ac:dyDescent="0.25"/>
    <row r="1479" ht="19.7" customHeight="1" x14ac:dyDescent="0.25"/>
    <row r="1480" ht="19.7" customHeight="1" x14ac:dyDescent="0.25"/>
    <row r="1481" ht="19.7" customHeight="1" x14ac:dyDescent="0.25"/>
    <row r="1482" ht="19.7" customHeight="1" x14ac:dyDescent="0.25"/>
    <row r="1483" ht="19.7" customHeight="1" x14ac:dyDescent="0.25"/>
    <row r="1484" ht="19.7" customHeight="1" x14ac:dyDescent="0.25"/>
    <row r="1485" ht="19.7" customHeight="1" x14ac:dyDescent="0.25"/>
    <row r="1486" ht="19.7" customHeight="1" x14ac:dyDescent="0.25"/>
    <row r="1487" ht="19.7" customHeight="1" x14ac:dyDescent="0.25"/>
    <row r="1488" ht="19.7" customHeight="1" x14ac:dyDescent="0.25"/>
    <row r="1489" ht="19.7" customHeight="1" x14ac:dyDescent="0.25"/>
    <row r="1490" ht="19.7" customHeight="1" x14ac:dyDescent="0.25"/>
    <row r="1491" ht="19.7" customHeight="1" x14ac:dyDescent="0.25"/>
    <row r="1492" ht="19.7" customHeight="1" x14ac:dyDescent="0.25"/>
    <row r="1493" ht="19.7" customHeight="1" x14ac:dyDescent="0.25"/>
    <row r="1494" ht="19.7" customHeight="1" x14ac:dyDescent="0.25"/>
    <row r="1495" ht="19.7" customHeight="1" x14ac:dyDescent="0.25"/>
    <row r="1496" ht="19.7" customHeight="1" x14ac:dyDescent="0.25"/>
    <row r="1497" ht="19.7" customHeight="1" x14ac:dyDescent="0.25"/>
    <row r="1498" ht="19.7" customHeight="1" x14ac:dyDescent="0.25"/>
    <row r="1499" ht="19.7" customHeight="1" x14ac:dyDescent="0.25"/>
    <row r="1500" ht="19.7" customHeight="1" x14ac:dyDescent="0.25"/>
    <row r="1501" ht="19.7" customHeight="1" x14ac:dyDescent="0.25"/>
    <row r="1502" ht="19.7" customHeight="1" x14ac:dyDescent="0.25"/>
    <row r="1503" ht="19.7" customHeight="1" x14ac:dyDescent="0.25"/>
    <row r="1504" ht="19.7" customHeight="1" x14ac:dyDescent="0.25"/>
    <row r="1505" ht="19.7" customHeight="1" x14ac:dyDescent="0.25"/>
    <row r="1506" ht="19.7" customHeight="1" x14ac:dyDescent="0.25"/>
    <row r="1507" ht="19.7" customHeight="1" x14ac:dyDescent="0.25"/>
    <row r="1508" ht="19.7" customHeight="1" x14ac:dyDescent="0.25"/>
    <row r="1509" ht="19.7" customHeight="1" x14ac:dyDescent="0.25"/>
    <row r="1510" ht="19.7" customHeight="1" x14ac:dyDescent="0.25"/>
    <row r="1511" ht="19.7" customHeight="1" x14ac:dyDescent="0.25"/>
    <row r="1512" ht="19.7" customHeight="1" x14ac:dyDescent="0.25"/>
    <row r="1513" ht="19.7" customHeight="1" x14ac:dyDescent="0.25"/>
    <row r="1514" ht="19.7" customHeight="1" x14ac:dyDescent="0.25"/>
    <row r="1515" ht="19.7" customHeight="1" x14ac:dyDescent="0.25"/>
    <row r="1516" ht="19.7" customHeight="1" x14ac:dyDescent="0.25"/>
    <row r="1517" ht="19.7" customHeight="1" x14ac:dyDescent="0.25"/>
    <row r="1518" ht="19.7" customHeight="1" x14ac:dyDescent="0.25"/>
    <row r="1519" ht="19.7" customHeight="1" x14ac:dyDescent="0.25"/>
    <row r="1520" ht="19.7" customHeight="1" x14ac:dyDescent="0.25"/>
    <row r="1521" ht="19.7" customHeight="1" x14ac:dyDescent="0.25"/>
    <row r="1522" ht="19.7" customHeight="1" x14ac:dyDescent="0.25"/>
    <row r="1523" ht="19.7" customHeight="1" x14ac:dyDescent="0.25"/>
    <row r="1524" ht="19.7" customHeight="1" x14ac:dyDescent="0.25"/>
    <row r="1525" ht="19.7" customHeight="1" x14ac:dyDescent="0.25"/>
    <row r="1526" ht="19.7" customHeight="1" x14ac:dyDescent="0.25"/>
    <row r="1527" ht="19.7" customHeight="1" x14ac:dyDescent="0.25"/>
    <row r="1528" ht="19.7" customHeight="1" x14ac:dyDescent="0.25"/>
    <row r="1529" ht="19.7" customHeight="1" x14ac:dyDescent="0.25"/>
    <row r="1530" ht="19.7" customHeight="1" x14ac:dyDescent="0.25"/>
    <row r="1531" ht="19.7" customHeight="1" x14ac:dyDescent="0.25"/>
    <row r="1532" ht="19.7" customHeight="1" x14ac:dyDescent="0.25"/>
    <row r="1533" ht="19.7" customHeight="1" x14ac:dyDescent="0.25"/>
    <row r="1534" ht="19.7" customHeight="1" x14ac:dyDescent="0.25"/>
    <row r="1535" ht="19.7" customHeight="1" x14ac:dyDescent="0.25"/>
    <row r="1536" ht="19.7" customHeight="1" x14ac:dyDescent="0.25"/>
    <row r="1537" ht="19.7" customHeight="1" x14ac:dyDescent="0.25"/>
    <row r="1538" ht="19.7" customHeight="1" x14ac:dyDescent="0.25"/>
    <row r="1539" ht="19.7" customHeight="1" x14ac:dyDescent="0.25"/>
    <row r="1540" ht="19.7" customHeight="1" x14ac:dyDescent="0.25"/>
    <row r="1541" ht="19.7" customHeight="1" x14ac:dyDescent="0.25"/>
    <row r="1542" ht="19.7" customHeight="1" x14ac:dyDescent="0.25"/>
    <row r="1543" ht="19.7" customHeight="1" x14ac:dyDescent="0.25"/>
    <row r="1544" ht="19.7" customHeight="1" x14ac:dyDescent="0.25"/>
    <row r="1545" ht="19.7" customHeight="1" x14ac:dyDescent="0.25"/>
    <row r="1546" ht="19.7" customHeight="1" x14ac:dyDescent="0.25"/>
    <row r="1547" ht="19.7" customHeight="1" x14ac:dyDescent="0.25"/>
    <row r="1548" ht="19.7" customHeight="1" x14ac:dyDescent="0.25"/>
    <row r="1549" ht="19.7" customHeight="1" x14ac:dyDescent="0.25"/>
    <row r="1550" ht="19.7" customHeight="1" x14ac:dyDescent="0.25"/>
    <row r="1551" ht="19.7" customHeight="1" x14ac:dyDescent="0.25"/>
    <row r="1552" ht="19.7" customHeight="1" x14ac:dyDescent="0.25"/>
    <row r="1553" ht="19.7" customHeight="1" x14ac:dyDescent="0.25"/>
    <row r="1554" ht="19.7" customHeight="1" x14ac:dyDescent="0.25"/>
    <row r="1555" ht="19.7" customHeight="1" x14ac:dyDescent="0.25"/>
    <row r="1556" ht="19.7" customHeight="1" x14ac:dyDescent="0.25"/>
    <row r="1557" ht="19.7" customHeight="1" x14ac:dyDescent="0.25"/>
    <row r="1558" ht="19.7" customHeight="1" x14ac:dyDescent="0.25"/>
    <row r="1559" ht="19.7" customHeight="1" x14ac:dyDescent="0.25"/>
    <row r="1560" ht="19.7" customHeight="1" x14ac:dyDescent="0.25"/>
    <row r="1561" ht="19.7" customHeight="1" x14ac:dyDescent="0.25"/>
    <row r="1562" ht="19.7" customHeight="1" x14ac:dyDescent="0.25"/>
    <row r="1563" ht="19.7" customHeight="1" x14ac:dyDescent="0.25"/>
    <row r="1564" ht="19.7" customHeight="1" x14ac:dyDescent="0.25"/>
    <row r="1565" ht="19.7" customHeight="1" x14ac:dyDescent="0.25"/>
    <row r="1566" ht="19.7" customHeight="1" x14ac:dyDescent="0.25"/>
    <row r="1567" ht="19.7" customHeight="1" x14ac:dyDescent="0.25"/>
    <row r="1568" ht="19.7" customHeight="1" x14ac:dyDescent="0.25"/>
    <row r="1569" ht="19.7" customHeight="1" x14ac:dyDescent="0.25"/>
    <row r="1570" ht="19.7" customHeight="1" x14ac:dyDescent="0.25"/>
    <row r="1571" ht="19.7" customHeight="1" x14ac:dyDescent="0.25"/>
    <row r="1572" ht="19.7" customHeight="1" x14ac:dyDescent="0.25"/>
    <row r="1573" ht="19.7" customHeight="1" x14ac:dyDescent="0.25"/>
    <row r="1574" ht="19.7" customHeight="1" x14ac:dyDescent="0.25"/>
    <row r="1575" ht="19.7" customHeight="1" x14ac:dyDescent="0.25"/>
    <row r="1576" ht="19.7" customHeight="1" x14ac:dyDescent="0.25"/>
    <row r="1577" ht="19.7" customHeight="1" x14ac:dyDescent="0.25"/>
    <row r="1578" ht="19.7" customHeight="1" x14ac:dyDescent="0.25"/>
    <row r="1579" ht="19.7" customHeight="1" x14ac:dyDescent="0.25"/>
    <row r="1580" ht="19.7" customHeight="1" x14ac:dyDescent="0.25"/>
    <row r="1581" ht="19.7" customHeight="1" x14ac:dyDescent="0.25"/>
    <row r="1582" ht="19.7" customHeight="1" x14ac:dyDescent="0.25"/>
    <row r="1583" ht="19.7" customHeight="1" x14ac:dyDescent="0.25"/>
    <row r="1584" ht="19.7" customHeight="1" x14ac:dyDescent="0.25"/>
    <row r="1585" ht="19.7" customHeight="1" x14ac:dyDescent="0.25"/>
    <row r="1586" ht="19.7" customHeight="1" x14ac:dyDescent="0.25"/>
    <row r="1587" ht="19.7" customHeight="1" x14ac:dyDescent="0.25"/>
    <row r="1588" ht="19.7" customHeight="1" x14ac:dyDescent="0.25"/>
    <row r="1589" ht="19.7" customHeight="1" x14ac:dyDescent="0.25"/>
    <row r="1590" ht="19.7" customHeight="1" x14ac:dyDescent="0.25"/>
    <row r="1591" ht="19.7" customHeight="1" x14ac:dyDescent="0.25"/>
    <row r="1592" ht="19.7" customHeight="1" x14ac:dyDescent="0.25"/>
    <row r="1593" ht="19.7" customHeight="1" x14ac:dyDescent="0.25"/>
    <row r="1594" ht="19.7" customHeight="1" x14ac:dyDescent="0.25"/>
    <row r="1595" ht="19.7" customHeight="1" x14ac:dyDescent="0.25"/>
    <row r="1596" ht="19.7" customHeight="1" x14ac:dyDescent="0.25"/>
    <row r="1597" ht="19.7" customHeight="1" x14ac:dyDescent="0.25"/>
    <row r="1598" ht="19.7" customHeight="1" x14ac:dyDescent="0.25"/>
    <row r="1599" ht="19.7" customHeight="1" x14ac:dyDescent="0.25"/>
    <row r="1600" ht="19.7" customHeight="1" x14ac:dyDescent="0.25"/>
    <row r="1601" ht="19.7" customHeight="1" x14ac:dyDescent="0.25"/>
    <row r="1602" ht="19.7" customHeight="1" x14ac:dyDescent="0.25"/>
    <row r="1603" ht="19.7" customHeight="1" x14ac:dyDescent="0.25"/>
    <row r="1604" ht="19.7" customHeight="1" x14ac:dyDescent="0.25"/>
    <row r="1605" ht="19.7" customHeight="1" x14ac:dyDescent="0.25"/>
    <row r="1606" ht="19.7" customHeight="1" x14ac:dyDescent="0.25"/>
    <row r="1607" ht="19.7" customHeight="1" x14ac:dyDescent="0.25"/>
    <row r="1608" ht="19.7" customHeight="1" x14ac:dyDescent="0.25"/>
    <row r="1609" ht="19.7" customHeight="1" x14ac:dyDescent="0.25"/>
    <row r="1610" ht="19.7" customHeight="1" x14ac:dyDescent="0.25"/>
    <row r="1611" ht="19.7" customHeight="1" x14ac:dyDescent="0.25"/>
    <row r="1612" ht="19.7" customHeight="1" x14ac:dyDescent="0.25"/>
    <row r="1613" ht="19.7" customHeight="1" x14ac:dyDescent="0.25"/>
    <row r="1614" ht="19.7" customHeight="1" x14ac:dyDescent="0.25"/>
    <row r="1615" ht="19.7" customHeight="1" x14ac:dyDescent="0.25"/>
    <row r="1616" ht="19.7" customHeight="1" x14ac:dyDescent="0.25"/>
    <row r="1617" ht="19.7" customHeight="1" x14ac:dyDescent="0.25"/>
    <row r="1618" ht="19.7" customHeight="1" x14ac:dyDescent="0.25"/>
    <row r="1619" ht="19.7" customHeight="1" x14ac:dyDescent="0.25"/>
    <row r="1620" ht="19.7" customHeight="1" x14ac:dyDescent="0.25"/>
    <row r="1621" ht="19.7" customHeight="1" x14ac:dyDescent="0.25"/>
    <row r="1622" ht="19.7" customHeight="1" x14ac:dyDescent="0.25"/>
    <row r="1623" ht="19.7" customHeight="1" x14ac:dyDescent="0.25"/>
    <row r="1624" ht="19.7" customHeight="1" x14ac:dyDescent="0.25"/>
    <row r="1625" ht="19.7" customHeight="1" x14ac:dyDescent="0.25"/>
    <row r="1626" ht="19.7" customHeight="1" x14ac:dyDescent="0.25"/>
    <row r="1627" ht="19.7" customHeight="1" x14ac:dyDescent="0.25"/>
    <row r="1628" ht="19.7" customHeight="1" x14ac:dyDescent="0.25"/>
    <row r="1629" ht="19.7" customHeight="1" x14ac:dyDescent="0.25"/>
    <row r="1630" ht="19.7" customHeight="1" x14ac:dyDescent="0.25"/>
    <row r="1631" ht="19.7" customHeight="1" x14ac:dyDescent="0.25"/>
    <row r="1632" ht="19.7" customHeight="1" x14ac:dyDescent="0.25"/>
    <row r="1633" ht="19.7" customHeight="1" x14ac:dyDescent="0.25"/>
    <row r="1634" ht="19.7" customHeight="1" x14ac:dyDescent="0.25"/>
    <row r="1635" ht="19.7" customHeight="1" x14ac:dyDescent="0.25"/>
    <row r="1636" ht="19.7" customHeight="1" x14ac:dyDescent="0.25"/>
    <row r="1637" ht="19.7" customHeight="1" x14ac:dyDescent="0.25"/>
    <row r="1638" ht="19.7" customHeight="1" x14ac:dyDescent="0.25"/>
    <row r="1639" ht="19.7" customHeight="1" x14ac:dyDescent="0.25"/>
    <row r="1640" ht="19.7" customHeight="1" x14ac:dyDescent="0.25"/>
    <row r="1641" ht="19.7" customHeight="1" x14ac:dyDescent="0.25"/>
    <row r="1642" ht="19.7" customHeight="1" x14ac:dyDescent="0.25"/>
    <row r="1643" ht="19.7" customHeight="1" x14ac:dyDescent="0.25"/>
    <row r="1644" ht="19.7" customHeight="1" x14ac:dyDescent="0.25"/>
    <row r="1645" ht="19.7" customHeight="1" x14ac:dyDescent="0.25"/>
    <row r="1646" ht="19.7" customHeight="1" x14ac:dyDescent="0.25"/>
    <row r="1647" ht="19.7" customHeight="1" x14ac:dyDescent="0.25"/>
    <row r="1648" ht="19.7" customHeight="1" x14ac:dyDescent="0.25"/>
    <row r="1649" ht="19.7" customHeight="1" x14ac:dyDescent="0.25"/>
    <row r="1650" ht="19.7" customHeight="1" x14ac:dyDescent="0.25"/>
    <row r="1651" ht="19.7" customHeight="1" x14ac:dyDescent="0.25"/>
    <row r="1652" ht="19.7" customHeight="1" x14ac:dyDescent="0.25"/>
    <row r="1653" ht="19.7" customHeight="1" x14ac:dyDescent="0.25"/>
    <row r="1654" ht="19.7" customHeight="1" x14ac:dyDescent="0.25"/>
    <row r="1655" ht="19.7" customHeight="1" x14ac:dyDescent="0.25"/>
    <row r="1656" ht="19.7" customHeight="1" x14ac:dyDescent="0.25"/>
    <row r="1657" ht="19.7" customHeight="1" x14ac:dyDescent="0.25"/>
    <row r="1658" ht="19.7" customHeight="1" x14ac:dyDescent="0.25"/>
    <row r="1659" ht="19.7" customHeight="1" x14ac:dyDescent="0.25"/>
    <row r="1660" ht="19.7" customHeight="1" x14ac:dyDescent="0.25"/>
    <row r="1661" ht="19.7" customHeight="1" x14ac:dyDescent="0.25"/>
    <row r="1662" ht="19.7" customHeight="1" x14ac:dyDescent="0.25"/>
    <row r="1663" ht="19.7" customHeight="1" x14ac:dyDescent="0.25"/>
    <row r="1664" ht="19.7" customHeight="1" x14ac:dyDescent="0.25"/>
    <row r="1665" ht="19.7" customHeight="1" x14ac:dyDescent="0.25"/>
    <row r="1666" ht="19.7" customHeight="1" x14ac:dyDescent="0.25"/>
    <row r="1667" ht="19.7" customHeight="1" x14ac:dyDescent="0.25"/>
    <row r="1668" ht="19.7" customHeight="1" x14ac:dyDescent="0.25"/>
    <row r="1669" ht="19.7" customHeight="1" x14ac:dyDescent="0.25"/>
    <row r="1670" ht="19.7" customHeight="1" x14ac:dyDescent="0.25"/>
    <row r="1671" ht="19.7" customHeight="1" x14ac:dyDescent="0.25"/>
    <row r="1672" ht="19.7" customHeight="1" x14ac:dyDescent="0.25"/>
    <row r="1673" ht="19.7" customHeight="1" x14ac:dyDescent="0.25"/>
    <row r="1674" ht="19.7" customHeight="1" x14ac:dyDescent="0.25"/>
    <row r="1675" ht="19.7" customHeight="1" x14ac:dyDescent="0.25"/>
    <row r="1676" ht="19.7" customHeight="1" x14ac:dyDescent="0.25"/>
    <row r="1677" ht="19.7" customHeight="1" x14ac:dyDescent="0.25"/>
    <row r="1678" ht="19.7" customHeight="1" x14ac:dyDescent="0.25"/>
    <row r="1679" ht="19.7" customHeight="1" x14ac:dyDescent="0.25"/>
    <row r="1680" ht="19.7" customHeight="1" x14ac:dyDescent="0.25"/>
    <row r="1681" ht="19.7" customHeight="1" x14ac:dyDescent="0.25"/>
    <row r="1682" ht="19.7" customHeight="1" x14ac:dyDescent="0.25"/>
    <row r="1683" ht="19.7" customHeight="1" x14ac:dyDescent="0.25"/>
    <row r="1684" ht="19.7" customHeight="1" x14ac:dyDescent="0.25"/>
    <row r="1685" ht="19.7" customHeight="1" x14ac:dyDescent="0.25"/>
    <row r="1686" ht="19.7" customHeight="1" x14ac:dyDescent="0.25"/>
    <row r="1687" ht="19.7" customHeight="1" x14ac:dyDescent="0.25"/>
    <row r="1688" ht="19.7" customHeight="1" x14ac:dyDescent="0.25"/>
    <row r="1689" ht="19.7" customHeight="1" x14ac:dyDescent="0.25"/>
    <row r="1690" ht="19.7" customHeight="1" x14ac:dyDescent="0.25"/>
    <row r="1691" ht="19.7" customHeight="1" x14ac:dyDescent="0.25"/>
    <row r="1692" ht="19.7" customHeight="1" x14ac:dyDescent="0.25"/>
    <row r="1693" ht="19.7" customHeight="1" x14ac:dyDescent="0.25"/>
    <row r="1694" ht="19.7" customHeight="1" x14ac:dyDescent="0.25"/>
    <row r="1695" ht="19.7" customHeight="1" x14ac:dyDescent="0.25"/>
    <row r="1696" ht="19.7" customHeight="1" x14ac:dyDescent="0.25"/>
    <row r="1697" ht="19.7" customHeight="1" x14ac:dyDescent="0.25"/>
    <row r="1698" ht="19.7" customHeight="1" x14ac:dyDescent="0.25"/>
    <row r="1699" ht="19.7" customHeight="1" x14ac:dyDescent="0.25"/>
    <row r="1700" ht="19.7" customHeight="1" x14ac:dyDescent="0.25"/>
    <row r="1701" ht="19.7" customHeight="1" x14ac:dyDescent="0.25"/>
    <row r="1702" ht="19.7" customHeight="1" x14ac:dyDescent="0.25"/>
    <row r="1703" ht="19.7" customHeight="1" x14ac:dyDescent="0.25"/>
    <row r="1704" ht="19.7" customHeight="1" x14ac:dyDescent="0.25"/>
    <row r="1705" ht="19.7" customHeight="1" x14ac:dyDescent="0.25"/>
    <row r="1706" ht="19.7" customHeight="1" x14ac:dyDescent="0.25"/>
    <row r="1707" ht="19.7" customHeight="1" x14ac:dyDescent="0.25"/>
    <row r="1708" ht="19.7" customHeight="1" x14ac:dyDescent="0.25"/>
    <row r="1709" ht="19.7" customHeight="1" x14ac:dyDescent="0.25"/>
    <row r="1710" ht="19.7" customHeight="1" x14ac:dyDescent="0.25"/>
    <row r="1711" ht="19.7" customHeight="1" x14ac:dyDescent="0.25"/>
    <row r="1712" ht="19.7" customHeight="1" x14ac:dyDescent="0.25"/>
    <row r="1713" ht="19.7" customHeight="1" x14ac:dyDescent="0.25"/>
    <row r="1714" ht="19.7" customHeight="1" x14ac:dyDescent="0.25"/>
    <row r="1715" ht="19.7" customHeight="1" x14ac:dyDescent="0.25"/>
    <row r="1716" ht="19.7" customHeight="1" x14ac:dyDescent="0.25"/>
    <row r="1717" ht="19.7" customHeight="1" x14ac:dyDescent="0.25"/>
    <row r="1718" ht="19.7" customHeight="1" x14ac:dyDescent="0.25"/>
    <row r="1719" ht="19.7" customHeight="1" x14ac:dyDescent="0.25"/>
    <row r="1720" ht="19.7" customHeight="1" x14ac:dyDescent="0.25"/>
    <row r="1721" ht="19.7" customHeight="1" x14ac:dyDescent="0.25"/>
    <row r="1722" ht="19.7" customHeight="1" x14ac:dyDescent="0.25"/>
    <row r="1723" ht="19.7" customHeight="1" x14ac:dyDescent="0.25"/>
    <row r="1724" ht="19.7" customHeight="1" x14ac:dyDescent="0.25"/>
    <row r="1725" ht="19.7" customHeight="1" x14ac:dyDescent="0.25"/>
    <row r="1726" ht="19.7" customHeight="1" x14ac:dyDescent="0.25"/>
    <row r="1727" ht="19.7" customHeight="1" x14ac:dyDescent="0.25"/>
    <row r="1728" ht="19.7" customHeight="1" x14ac:dyDescent="0.25"/>
    <row r="1729" ht="19.7" customHeight="1" x14ac:dyDescent="0.25"/>
    <row r="1730" ht="19.7" customHeight="1" x14ac:dyDescent="0.25"/>
    <row r="1731" ht="19.7" customHeight="1" x14ac:dyDescent="0.25"/>
    <row r="1732" ht="19.7" customHeight="1" x14ac:dyDescent="0.25"/>
    <row r="1733" ht="19.7" customHeight="1" x14ac:dyDescent="0.25"/>
    <row r="1734" ht="19.7" customHeight="1" x14ac:dyDescent="0.25"/>
    <row r="1735" ht="19.7" customHeight="1" x14ac:dyDescent="0.25"/>
    <row r="1736" ht="19.7" customHeight="1" x14ac:dyDescent="0.25"/>
    <row r="1737" ht="19.7" customHeight="1" x14ac:dyDescent="0.25"/>
    <row r="1738" ht="19.7" customHeight="1" x14ac:dyDescent="0.25"/>
    <row r="1739" ht="19.7" customHeight="1" x14ac:dyDescent="0.25"/>
    <row r="1740" ht="19.7" customHeight="1" x14ac:dyDescent="0.25"/>
    <row r="1741" ht="19.7" customHeight="1" x14ac:dyDescent="0.25"/>
    <row r="1742" ht="19.7" customHeight="1" x14ac:dyDescent="0.25"/>
    <row r="1743" ht="19.7" customHeight="1" x14ac:dyDescent="0.25"/>
    <row r="1744" ht="19.7" customHeight="1" x14ac:dyDescent="0.25"/>
    <row r="1745" ht="19.7" customHeight="1" x14ac:dyDescent="0.25"/>
    <row r="1746" ht="19.7" customHeight="1" x14ac:dyDescent="0.25"/>
    <row r="1747" ht="19.7" customHeight="1" x14ac:dyDescent="0.25"/>
    <row r="1748" ht="19.7" customHeight="1" x14ac:dyDescent="0.25"/>
    <row r="1749" ht="19.7" customHeight="1" x14ac:dyDescent="0.25"/>
    <row r="1750" ht="19.7" customHeight="1" x14ac:dyDescent="0.25"/>
    <row r="1751" ht="19.7" customHeight="1" x14ac:dyDescent="0.25"/>
    <row r="1752" ht="19.7" customHeight="1" x14ac:dyDescent="0.25"/>
    <row r="1753" ht="19.7" customHeight="1" x14ac:dyDescent="0.25"/>
    <row r="1754" ht="19.7" customHeight="1" x14ac:dyDescent="0.25"/>
    <row r="1755" ht="19.7" customHeight="1" x14ac:dyDescent="0.25"/>
    <row r="1756" ht="19.7" customHeight="1" x14ac:dyDescent="0.25"/>
    <row r="1757" ht="19.7" customHeight="1" x14ac:dyDescent="0.25"/>
    <row r="1758" ht="19.7" customHeight="1" x14ac:dyDescent="0.25"/>
    <row r="1759" ht="19.7" customHeight="1" x14ac:dyDescent="0.25"/>
    <row r="1760" ht="19.7" customHeight="1" x14ac:dyDescent="0.25"/>
    <row r="1761" ht="19.7" customHeight="1" x14ac:dyDescent="0.25"/>
    <row r="1762" ht="19.7" customHeight="1" x14ac:dyDescent="0.25"/>
    <row r="1763" ht="19.7" customHeight="1" x14ac:dyDescent="0.25"/>
    <row r="1764" ht="19.7" customHeight="1" x14ac:dyDescent="0.25"/>
    <row r="1765" ht="19.7" customHeight="1" x14ac:dyDescent="0.25"/>
    <row r="1766" ht="19.7" customHeight="1" x14ac:dyDescent="0.25"/>
    <row r="1767" ht="19.7" customHeight="1" x14ac:dyDescent="0.25"/>
    <row r="1768" ht="19.7" customHeight="1" x14ac:dyDescent="0.25"/>
    <row r="1769" ht="19.7" customHeight="1" x14ac:dyDescent="0.25"/>
    <row r="1770" ht="19.7" customHeight="1" x14ac:dyDescent="0.25"/>
    <row r="1771" ht="19.7" customHeight="1" x14ac:dyDescent="0.25"/>
    <row r="1772" ht="19.7" customHeight="1" x14ac:dyDescent="0.25"/>
    <row r="1773" ht="19.7" customHeight="1" x14ac:dyDescent="0.25"/>
    <row r="1774" ht="19.7" customHeight="1" x14ac:dyDescent="0.25"/>
    <row r="1775" ht="19.7" customHeight="1" x14ac:dyDescent="0.25"/>
    <row r="1776" ht="19.7" customHeight="1" x14ac:dyDescent="0.25"/>
    <row r="1777" ht="19.7" customHeight="1" x14ac:dyDescent="0.25"/>
    <row r="1778" ht="19.7" customHeight="1" x14ac:dyDescent="0.25"/>
    <row r="1779" ht="19.7" customHeight="1" x14ac:dyDescent="0.25"/>
    <row r="1780" ht="19.7" customHeight="1" x14ac:dyDescent="0.25"/>
    <row r="1781" ht="19.7" customHeight="1" x14ac:dyDescent="0.25"/>
    <row r="1782" ht="19.7" customHeight="1" x14ac:dyDescent="0.25"/>
    <row r="1783" ht="19.7" customHeight="1" x14ac:dyDescent="0.25"/>
    <row r="1784" ht="19.7" customHeight="1" x14ac:dyDescent="0.25"/>
    <row r="1785" ht="19.7" customHeight="1" x14ac:dyDescent="0.25"/>
    <row r="1786" ht="19.7" customHeight="1" x14ac:dyDescent="0.25"/>
    <row r="1787" ht="19.7" customHeight="1" x14ac:dyDescent="0.25"/>
    <row r="1788" ht="19.7" customHeight="1" x14ac:dyDescent="0.25"/>
    <row r="1789" ht="19.7" customHeight="1" x14ac:dyDescent="0.25"/>
    <row r="1790" ht="19.7" customHeight="1" x14ac:dyDescent="0.25"/>
    <row r="1791" ht="19.7" customHeight="1" x14ac:dyDescent="0.25"/>
    <row r="1792" ht="19.7" customHeight="1" x14ac:dyDescent="0.25"/>
    <row r="1793" ht="19.7" customHeight="1" x14ac:dyDescent="0.25"/>
    <row r="1794" ht="19.7" customHeight="1" x14ac:dyDescent="0.25"/>
    <row r="1795" ht="19.7" customHeight="1" x14ac:dyDescent="0.25"/>
    <row r="1796" ht="19.7" customHeight="1" x14ac:dyDescent="0.25"/>
    <row r="1797" ht="19.7" customHeight="1" x14ac:dyDescent="0.25"/>
    <row r="1798" ht="19.7" customHeight="1" x14ac:dyDescent="0.25"/>
    <row r="1799" ht="19.7" customHeight="1" x14ac:dyDescent="0.25"/>
    <row r="1800" ht="19.7" customHeight="1" x14ac:dyDescent="0.25"/>
    <row r="1801" ht="19.7" customHeight="1" x14ac:dyDescent="0.25"/>
    <row r="1802" ht="19.7" customHeight="1" x14ac:dyDescent="0.25"/>
    <row r="1803" ht="19.7" customHeight="1" x14ac:dyDescent="0.25"/>
    <row r="1804" ht="19.7" customHeight="1" x14ac:dyDescent="0.25"/>
    <row r="1805" ht="19.7" customHeight="1" x14ac:dyDescent="0.25"/>
    <row r="1806" ht="19.7" customHeight="1" x14ac:dyDescent="0.25"/>
    <row r="1807" ht="19.7" customHeight="1" x14ac:dyDescent="0.25"/>
    <row r="1808" ht="19.7" customHeight="1" x14ac:dyDescent="0.25"/>
    <row r="1809" ht="19.7" customHeight="1" x14ac:dyDescent="0.25"/>
    <row r="1810" ht="19.7" customHeight="1" x14ac:dyDescent="0.25"/>
    <row r="1811" ht="19.7" customHeight="1" x14ac:dyDescent="0.25"/>
    <row r="1812" ht="19.7" customHeight="1" x14ac:dyDescent="0.25"/>
    <row r="1813" ht="19.7" customHeight="1" x14ac:dyDescent="0.25"/>
    <row r="1814" ht="19.7" customHeight="1" x14ac:dyDescent="0.25"/>
    <row r="1815" ht="19.7" customHeight="1" x14ac:dyDescent="0.25"/>
    <row r="1816" ht="19.7" customHeight="1" x14ac:dyDescent="0.25"/>
    <row r="1817" ht="19.7" customHeight="1" x14ac:dyDescent="0.25"/>
    <row r="1818" ht="19.7" customHeight="1" x14ac:dyDescent="0.25"/>
    <row r="1819" ht="19.7" customHeight="1" x14ac:dyDescent="0.25"/>
    <row r="1820" ht="19.7" customHeight="1" x14ac:dyDescent="0.25"/>
    <row r="1821" ht="19.7" customHeight="1" x14ac:dyDescent="0.25"/>
    <row r="1822" ht="19.7" customHeight="1" x14ac:dyDescent="0.25"/>
    <row r="1823" ht="19.7" customHeight="1" x14ac:dyDescent="0.25"/>
    <row r="1824" ht="19.7" customHeight="1" x14ac:dyDescent="0.25"/>
    <row r="1825" ht="19.7" customHeight="1" x14ac:dyDescent="0.25"/>
    <row r="1826" ht="19.7" customHeight="1" x14ac:dyDescent="0.25"/>
    <row r="1827" ht="19.7" customHeight="1" x14ac:dyDescent="0.25"/>
    <row r="1828" ht="19.7" customHeight="1" x14ac:dyDescent="0.25"/>
    <row r="1829" ht="19.7" customHeight="1" x14ac:dyDescent="0.25"/>
    <row r="1830" ht="19.7" customHeight="1" x14ac:dyDescent="0.25"/>
    <row r="1831" ht="19.7" customHeight="1" x14ac:dyDescent="0.25"/>
    <row r="1832" ht="19.7" customHeight="1" x14ac:dyDescent="0.25"/>
    <row r="1833" ht="19.7" customHeight="1" x14ac:dyDescent="0.25"/>
    <row r="1834" ht="19.7" customHeight="1" x14ac:dyDescent="0.25"/>
    <row r="1835" ht="19.7" customHeight="1" x14ac:dyDescent="0.25"/>
    <row r="1836" ht="19.7" customHeight="1" x14ac:dyDescent="0.25"/>
    <row r="1837" ht="19.7" customHeight="1" x14ac:dyDescent="0.25"/>
    <row r="1838" ht="19.7" customHeight="1" x14ac:dyDescent="0.25"/>
    <row r="1839" ht="19.7" customHeight="1" x14ac:dyDescent="0.25"/>
    <row r="1840" ht="19.7" customHeight="1" x14ac:dyDescent="0.25"/>
    <row r="1841" ht="19.7" customHeight="1" x14ac:dyDescent="0.25"/>
    <row r="1842" ht="19.7" customHeight="1" x14ac:dyDescent="0.25"/>
    <row r="1843" ht="19.7" customHeight="1" x14ac:dyDescent="0.25"/>
    <row r="1844" ht="19.7" customHeight="1" x14ac:dyDescent="0.25"/>
    <row r="1845" ht="19.7" customHeight="1" x14ac:dyDescent="0.25"/>
    <row r="1846" ht="19.7" customHeight="1" x14ac:dyDescent="0.25"/>
    <row r="1847" ht="19.7" customHeight="1" x14ac:dyDescent="0.25"/>
    <row r="1848" ht="19.7" customHeight="1" x14ac:dyDescent="0.25"/>
    <row r="1849" ht="19.7" customHeight="1" x14ac:dyDescent="0.25"/>
    <row r="1850" ht="19.7" customHeight="1" x14ac:dyDescent="0.25"/>
    <row r="1851" ht="19.7" customHeight="1" x14ac:dyDescent="0.25"/>
    <row r="1852" ht="19.7" customHeight="1" x14ac:dyDescent="0.25"/>
    <row r="1853" ht="19.7" customHeight="1" x14ac:dyDescent="0.25"/>
    <row r="1854" ht="19.7" customHeight="1" x14ac:dyDescent="0.25"/>
    <row r="1855" ht="19.7" customHeight="1" x14ac:dyDescent="0.25"/>
    <row r="1856" ht="19.7" customHeight="1" x14ac:dyDescent="0.25"/>
    <row r="1857" ht="19.7" customHeight="1" x14ac:dyDescent="0.25"/>
    <row r="1858" ht="19.7" customHeight="1" x14ac:dyDescent="0.25"/>
    <row r="1859" ht="19.7" customHeight="1" x14ac:dyDescent="0.25"/>
    <row r="1860" ht="19.7" customHeight="1" x14ac:dyDescent="0.25"/>
    <row r="1861" ht="19.7" customHeight="1" x14ac:dyDescent="0.25"/>
    <row r="1862" ht="19.7" customHeight="1" x14ac:dyDescent="0.25"/>
    <row r="1863" ht="19.7" customHeight="1" x14ac:dyDescent="0.25"/>
    <row r="1864" ht="19.7" customHeight="1" x14ac:dyDescent="0.25"/>
    <row r="1865" ht="19.7" customHeight="1" x14ac:dyDescent="0.25"/>
    <row r="1866" ht="19.7" customHeight="1" x14ac:dyDescent="0.25"/>
    <row r="1867" ht="19.7" customHeight="1" x14ac:dyDescent="0.25"/>
    <row r="1868" ht="19.7" customHeight="1" x14ac:dyDescent="0.25"/>
    <row r="1869" ht="19.7" customHeight="1" x14ac:dyDescent="0.25"/>
    <row r="1870" ht="19.7" customHeight="1" x14ac:dyDescent="0.25"/>
    <row r="1871" ht="19.7" customHeight="1" x14ac:dyDescent="0.25"/>
    <row r="1872" ht="19.7" customHeight="1" x14ac:dyDescent="0.25"/>
    <row r="1873" ht="19.7" customHeight="1" x14ac:dyDescent="0.25"/>
    <row r="1874" ht="19.7" customHeight="1" x14ac:dyDescent="0.25"/>
    <row r="1875" ht="19.7" customHeight="1" x14ac:dyDescent="0.25"/>
    <row r="1876" ht="19.7" customHeight="1" x14ac:dyDescent="0.25"/>
    <row r="1877" ht="19.7" customHeight="1" x14ac:dyDescent="0.25"/>
    <row r="1878" ht="19.7" customHeight="1" x14ac:dyDescent="0.25"/>
    <row r="1879" ht="19.7" customHeight="1" x14ac:dyDescent="0.25"/>
    <row r="1880" ht="19.7" customHeight="1" x14ac:dyDescent="0.25"/>
    <row r="1881" ht="19.7" customHeight="1" x14ac:dyDescent="0.25"/>
    <row r="1882" ht="19.7" customHeight="1" x14ac:dyDescent="0.25"/>
    <row r="1883" ht="19.7" customHeight="1" x14ac:dyDescent="0.25"/>
    <row r="1884" ht="19.7" customHeight="1" x14ac:dyDescent="0.25"/>
    <row r="1885" ht="19.7" customHeight="1" x14ac:dyDescent="0.25"/>
    <row r="1886" ht="19.7" customHeight="1" x14ac:dyDescent="0.25"/>
    <row r="1887" ht="19.7" customHeight="1" x14ac:dyDescent="0.25"/>
    <row r="1888" ht="19.7" customHeight="1" x14ac:dyDescent="0.25"/>
    <row r="1889" ht="19.7" customHeight="1" x14ac:dyDescent="0.25"/>
    <row r="1890" ht="19.7" customHeight="1" x14ac:dyDescent="0.25"/>
    <row r="1891" ht="19.7" customHeight="1" x14ac:dyDescent="0.25"/>
    <row r="1892" ht="19.7" customHeight="1" x14ac:dyDescent="0.25"/>
    <row r="1893" ht="19.7" customHeight="1" x14ac:dyDescent="0.25"/>
    <row r="1894" ht="19.7" customHeight="1" x14ac:dyDescent="0.25"/>
    <row r="1895" ht="19.7" customHeight="1" x14ac:dyDescent="0.25"/>
    <row r="1896" ht="19.7" customHeight="1" x14ac:dyDescent="0.25"/>
    <row r="1897" ht="19.7" customHeight="1" x14ac:dyDescent="0.25"/>
    <row r="1898" ht="19.7" customHeight="1" x14ac:dyDescent="0.25"/>
    <row r="1899" ht="19.7" customHeight="1" x14ac:dyDescent="0.25"/>
    <row r="1900" ht="19.7" customHeight="1" x14ac:dyDescent="0.25"/>
    <row r="1901" ht="19.7" customHeight="1" x14ac:dyDescent="0.25"/>
    <row r="1902" ht="19.7" customHeight="1" x14ac:dyDescent="0.25"/>
    <row r="1903" ht="19.7" customHeight="1" x14ac:dyDescent="0.25"/>
    <row r="1904" ht="19.7" customHeight="1" x14ac:dyDescent="0.25"/>
    <row r="1905" ht="19.7" customHeight="1" x14ac:dyDescent="0.25"/>
    <row r="1906" ht="19.7" customHeight="1" x14ac:dyDescent="0.25"/>
    <row r="1907" ht="19.7" customHeight="1" x14ac:dyDescent="0.25"/>
    <row r="1908" ht="19.7" customHeight="1" x14ac:dyDescent="0.25"/>
    <row r="1909" ht="19.7" customHeight="1" x14ac:dyDescent="0.25"/>
    <row r="1910" ht="19.7" customHeight="1" x14ac:dyDescent="0.25"/>
    <row r="1911" ht="19.7" customHeight="1" x14ac:dyDescent="0.25"/>
    <row r="1912" ht="19.7" customHeight="1" x14ac:dyDescent="0.25"/>
    <row r="1913" ht="19.7" customHeight="1" x14ac:dyDescent="0.25"/>
    <row r="1914" ht="19.7" customHeight="1" x14ac:dyDescent="0.25"/>
    <row r="1915" ht="19.7" customHeight="1" x14ac:dyDescent="0.25"/>
    <row r="1916" ht="19.7" customHeight="1" x14ac:dyDescent="0.25"/>
    <row r="1917" ht="19.7" customHeight="1" x14ac:dyDescent="0.25"/>
    <row r="1918" ht="19.7" customHeight="1" x14ac:dyDescent="0.25"/>
    <row r="1919" ht="19.7" customHeight="1" x14ac:dyDescent="0.25"/>
    <row r="1920" ht="19.7" customHeight="1" x14ac:dyDescent="0.25"/>
    <row r="1921" ht="19.7" customHeight="1" x14ac:dyDescent="0.25"/>
    <row r="1922" ht="19.7" customHeight="1" x14ac:dyDescent="0.25"/>
    <row r="1923" ht="19.7" customHeight="1" x14ac:dyDescent="0.25"/>
    <row r="1924" ht="19.7" customHeight="1" x14ac:dyDescent="0.25"/>
    <row r="1925" ht="19.7" customHeight="1" x14ac:dyDescent="0.25"/>
    <row r="1926" ht="19.7" customHeight="1" x14ac:dyDescent="0.25"/>
    <row r="1927" ht="19.7" customHeight="1" x14ac:dyDescent="0.25"/>
    <row r="1928" ht="19.7" customHeight="1" x14ac:dyDescent="0.25"/>
    <row r="1929" ht="19.7" customHeight="1" x14ac:dyDescent="0.25"/>
    <row r="1930" ht="19.7" customHeight="1" x14ac:dyDescent="0.25"/>
    <row r="1931" ht="19.7" customHeight="1" x14ac:dyDescent="0.25"/>
    <row r="1932" ht="19.7" customHeight="1" x14ac:dyDescent="0.25"/>
    <row r="1933" ht="19.7" customHeight="1" x14ac:dyDescent="0.25"/>
    <row r="1934" ht="19.7" customHeight="1" x14ac:dyDescent="0.25"/>
    <row r="1935" ht="19.7" customHeight="1" x14ac:dyDescent="0.25"/>
    <row r="1936" ht="19.7" customHeight="1" x14ac:dyDescent="0.25"/>
    <row r="1937" ht="19.7" customHeight="1" x14ac:dyDescent="0.25"/>
    <row r="1938" ht="19.7" customHeight="1" x14ac:dyDescent="0.25"/>
    <row r="1939" ht="19.7" customHeight="1" x14ac:dyDescent="0.25"/>
    <row r="1940" ht="19.7" customHeight="1" x14ac:dyDescent="0.25"/>
    <row r="1941" ht="19.7" customHeight="1" x14ac:dyDescent="0.25"/>
    <row r="1942" ht="19.7" customHeight="1" x14ac:dyDescent="0.25"/>
    <row r="1943" ht="19.7" customHeight="1" x14ac:dyDescent="0.25"/>
    <row r="1944" ht="19.7" customHeight="1" x14ac:dyDescent="0.25"/>
    <row r="1945" ht="19.7" customHeight="1" x14ac:dyDescent="0.25"/>
    <row r="1946" ht="19.7" customHeight="1" x14ac:dyDescent="0.25"/>
    <row r="1947" ht="19.7" customHeight="1" x14ac:dyDescent="0.25"/>
    <row r="1948" ht="19.7" customHeight="1" x14ac:dyDescent="0.25"/>
    <row r="1949" ht="19.7" customHeight="1" x14ac:dyDescent="0.25"/>
    <row r="1950" ht="19.7" customHeight="1" x14ac:dyDescent="0.25"/>
    <row r="1951" ht="19.7" customHeight="1" x14ac:dyDescent="0.25"/>
    <row r="1952" ht="19.7" customHeight="1" x14ac:dyDescent="0.25"/>
    <row r="1953" ht="19.7" customHeight="1" x14ac:dyDescent="0.25"/>
    <row r="1954" ht="19.7" customHeight="1" x14ac:dyDescent="0.25"/>
    <row r="1955" ht="19.7" customHeight="1" x14ac:dyDescent="0.25"/>
    <row r="1956" ht="19.7" customHeight="1" x14ac:dyDescent="0.25"/>
    <row r="1957" ht="19.7" customHeight="1" x14ac:dyDescent="0.25"/>
    <row r="1958" ht="19.7" customHeight="1" x14ac:dyDescent="0.25"/>
    <row r="1959" ht="19.7" customHeight="1" x14ac:dyDescent="0.25"/>
    <row r="1960" ht="19.7" customHeight="1" x14ac:dyDescent="0.25"/>
    <row r="1961" ht="19.7" customHeight="1" x14ac:dyDescent="0.25"/>
    <row r="1962" ht="19.7" customHeight="1" x14ac:dyDescent="0.25"/>
    <row r="1963" ht="19.7" customHeight="1" x14ac:dyDescent="0.25"/>
    <row r="1964" ht="19.7" customHeight="1" x14ac:dyDescent="0.25"/>
    <row r="1965" ht="19.7" customHeight="1" x14ac:dyDescent="0.25"/>
    <row r="1966" ht="19.7" customHeight="1" x14ac:dyDescent="0.25"/>
    <row r="1967" ht="19.7" customHeight="1" x14ac:dyDescent="0.25"/>
    <row r="1968" ht="19.7" customHeight="1" x14ac:dyDescent="0.25"/>
    <row r="1969" ht="19.7" customHeight="1" x14ac:dyDescent="0.25"/>
    <row r="1970" ht="19.7" customHeight="1" x14ac:dyDescent="0.25"/>
    <row r="1971" ht="19.7" customHeight="1" x14ac:dyDescent="0.25"/>
    <row r="1972" ht="19.7" customHeight="1" x14ac:dyDescent="0.25"/>
    <row r="1973" ht="19.7" customHeight="1" x14ac:dyDescent="0.25"/>
    <row r="1974" ht="19.7" customHeight="1" x14ac:dyDescent="0.25"/>
    <row r="1975" ht="19.7" customHeight="1" x14ac:dyDescent="0.25"/>
    <row r="1976" ht="19.7" customHeight="1" x14ac:dyDescent="0.25"/>
    <row r="1977" ht="19.7" customHeight="1" x14ac:dyDescent="0.25"/>
    <row r="1978" ht="19.7" customHeight="1" x14ac:dyDescent="0.25"/>
    <row r="1979" ht="19.7" customHeight="1" x14ac:dyDescent="0.25"/>
    <row r="1980" ht="19.7" customHeight="1" x14ac:dyDescent="0.25"/>
    <row r="1981" ht="19.7" customHeight="1" x14ac:dyDescent="0.25"/>
    <row r="1982" ht="19.7" customHeight="1" x14ac:dyDescent="0.25"/>
    <row r="1983" ht="19.7" customHeight="1" x14ac:dyDescent="0.25"/>
    <row r="1984" ht="19.7" customHeight="1" x14ac:dyDescent="0.25"/>
    <row r="1985" ht="19.7" customHeight="1" x14ac:dyDescent="0.25"/>
    <row r="1986" ht="19.7" customHeight="1" x14ac:dyDescent="0.25"/>
    <row r="1987" ht="19.7" customHeight="1" x14ac:dyDescent="0.25"/>
    <row r="1988" ht="19.7" customHeight="1" x14ac:dyDescent="0.25"/>
    <row r="1989" ht="19.7" customHeight="1" x14ac:dyDescent="0.25"/>
    <row r="1990" ht="19.7" customHeight="1" x14ac:dyDescent="0.25"/>
    <row r="1991" ht="19.7" customHeight="1" x14ac:dyDescent="0.25"/>
    <row r="1992" ht="19.7" customHeight="1" x14ac:dyDescent="0.25"/>
    <row r="1993" ht="19.7" customHeight="1" x14ac:dyDescent="0.25"/>
    <row r="1994" ht="19.7" customHeight="1" x14ac:dyDescent="0.25"/>
    <row r="1995" ht="19.7" customHeight="1" x14ac:dyDescent="0.25"/>
    <row r="1996" ht="19.7" customHeight="1" x14ac:dyDescent="0.25"/>
    <row r="1997" ht="19.7" customHeight="1" x14ac:dyDescent="0.25"/>
    <row r="1998" ht="19.7" customHeight="1" x14ac:dyDescent="0.25"/>
    <row r="1999" ht="19.7" customHeight="1" x14ac:dyDescent="0.25"/>
    <row r="2000" ht="19.7" customHeight="1" x14ac:dyDescent="0.25"/>
    <row r="2001" ht="19.7" customHeight="1" x14ac:dyDescent="0.25"/>
    <row r="2002" ht="19.7" customHeight="1" x14ac:dyDescent="0.25"/>
    <row r="2003" ht="19.7" customHeight="1" x14ac:dyDescent="0.25"/>
    <row r="2004" ht="19.7" customHeight="1" x14ac:dyDescent="0.25"/>
    <row r="2005" ht="19.7" customHeight="1" x14ac:dyDescent="0.25"/>
    <row r="2006" ht="19.7" customHeight="1" x14ac:dyDescent="0.25"/>
    <row r="2007" ht="19.7" customHeight="1" x14ac:dyDescent="0.25"/>
    <row r="2008" ht="19.7" customHeight="1" x14ac:dyDescent="0.25"/>
    <row r="2009" ht="19.7" customHeight="1" x14ac:dyDescent="0.25"/>
    <row r="2010" ht="19.7" customHeight="1" x14ac:dyDescent="0.25"/>
    <row r="2011" ht="19.7" customHeight="1" x14ac:dyDescent="0.25"/>
    <row r="2012" ht="19.7" customHeight="1" x14ac:dyDescent="0.25"/>
    <row r="2013" ht="19.7" customHeight="1" x14ac:dyDescent="0.25"/>
    <row r="2014" ht="19.7" customHeight="1" x14ac:dyDescent="0.25"/>
    <row r="2015" ht="19.7" customHeight="1" x14ac:dyDescent="0.25"/>
    <row r="2016" ht="19.7" customHeight="1" x14ac:dyDescent="0.25"/>
    <row r="2017" ht="19.7" customHeight="1" x14ac:dyDescent="0.25"/>
    <row r="2018" ht="19.7" customHeight="1" x14ac:dyDescent="0.25"/>
    <row r="2019" ht="19.7" customHeight="1" x14ac:dyDescent="0.25"/>
    <row r="2020" ht="19.7" customHeight="1" x14ac:dyDescent="0.25"/>
    <row r="2021" ht="19.7" customHeight="1" x14ac:dyDescent="0.25"/>
    <row r="2022" ht="19.7" customHeight="1" x14ac:dyDescent="0.25"/>
    <row r="2023" ht="19.7" customHeight="1" x14ac:dyDescent="0.25"/>
    <row r="2024" ht="19.7" customHeight="1" x14ac:dyDescent="0.25"/>
    <row r="2025" ht="19.7" customHeight="1" x14ac:dyDescent="0.25"/>
    <row r="2026" ht="19.7" customHeight="1" x14ac:dyDescent="0.25"/>
    <row r="2027" ht="19.7" customHeight="1" x14ac:dyDescent="0.25"/>
    <row r="2028" ht="19.7" customHeight="1" x14ac:dyDescent="0.25"/>
    <row r="2029" ht="19.7" customHeight="1" x14ac:dyDescent="0.25"/>
    <row r="2030" ht="19.7" customHeight="1" x14ac:dyDescent="0.25"/>
    <row r="2031" ht="19.7" customHeight="1" x14ac:dyDescent="0.25"/>
    <row r="2032" ht="19.7" customHeight="1" x14ac:dyDescent="0.25"/>
    <row r="2033" ht="19.7" customHeight="1" x14ac:dyDescent="0.25"/>
    <row r="2034" ht="19.7" customHeight="1" x14ac:dyDescent="0.25"/>
    <row r="2035" ht="19.7" customHeight="1" x14ac:dyDescent="0.25"/>
    <row r="2036" ht="19.7" customHeight="1" x14ac:dyDescent="0.25"/>
    <row r="2037" ht="19.7" customHeight="1" x14ac:dyDescent="0.25"/>
    <row r="2038" ht="19.7" customHeight="1" x14ac:dyDescent="0.25"/>
    <row r="2039" ht="19.7" customHeight="1" x14ac:dyDescent="0.25"/>
    <row r="2040" ht="19.7" customHeight="1" x14ac:dyDescent="0.25"/>
    <row r="2041" ht="19.7" customHeight="1" x14ac:dyDescent="0.25"/>
    <row r="2042" ht="19.7" customHeight="1" x14ac:dyDescent="0.25"/>
    <row r="2043" ht="19.7" customHeight="1" x14ac:dyDescent="0.25"/>
    <row r="2044" ht="19.7" customHeight="1" x14ac:dyDescent="0.25"/>
    <row r="2045" ht="19.7" customHeight="1" x14ac:dyDescent="0.25"/>
    <row r="2046" ht="19.7" customHeight="1" x14ac:dyDescent="0.25"/>
    <row r="2047" ht="19.7" customHeight="1" x14ac:dyDescent="0.25"/>
    <row r="2048" ht="19.7" customHeight="1" x14ac:dyDescent="0.25"/>
    <row r="2049" ht="19.7" customHeight="1" x14ac:dyDescent="0.25"/>
    <row r="2050" ht="19.7" customHeight="1" x14ac:dyDescent="0.25"/>
    <row r="2051" ht="19.7" customHeight="1" x14ac:dyDescent="0.25"/>
    <row r="2052" ht="19.7" customHeight="1" x14ac:dyDescent="0.25"/>
    <row r="2053" ht="19.7" customHeight="1" x14ac:dyDescent="0.25"/>
    <row r="2054" ht="19.7" customHeight="1" x14ac:dyDescent="0.25"/>
    <row r="2055" ht="19.7" customHeight="1" x14ac:dyDescent="0.25"/>
    <row r="2056" ht="19.7" customHeight="1" x14ac:dyDescent="0.25"/>
    <row r="2057" ht="19.7" customHeight="1" x14ac:dyDescent="0.25"/>
    <row r="2058" ht="19.7" customHeight="1" x14ac:dyDescent="0.25"/>
    <row r="2059" ht="19.7" customHeight="1" x14ac:dyDescent="0.25"/>
    <row r="2060" ht="19.7" customHeight="1" x14ac:dyDescent="0.25"/>
    <row r="2061" ht="19.7" customHeight="1" x14ac:dyDescent="0.25"/>
    <row r="2062" ht="19.7" customHeight="1" x14ac:dyDescent="0.25"/>
    <row r="2063" ht="19.7" customHeight="1" x14ac:dyDescent="0.25"/>
    <row r="2064" ht="19.7" customHeight="1" x14ac:dyDescent="0.25"/>
    <row r="2065" ht="19.7" customHeight="1" x14ac:dyDescent="0.25"/>
    <row r="2066" ht="19.7" customHeight="1" x14ac:dyDescent="0.25"/>
    <row r="2067" ht="19.7" customHeight="1" x14ac:dyDescent="0.25"/>
    <row r="2068" ht="19.7" customHeight="1" x14ac:dyDescent="0.25"/>
    <row r="2069" ht="19.7" customHeight="1" x14ac:dyDescent="0.25"/>
    <row r="2070" ht="19.7" customHeight="1" x14ac:dyDescent="0.25"/>
    <row r="2071" ht="19.7" customHeight="1" x14ac:dyDescent="0.25"/>
    <row r="2072" ht="19.7" customHeight="1" x14ac:dyDescent="0.25"/>
    <row r="2073" ht="19.7" customHeight="1" x14ac:dyDescent="0.25"/>
    <row r="2074" ht="19.7" customHeight="1" x14ac:dyDescent="0.25"/>
    <row r="2075" ht="19.7" customHeight="1" x14ac:dyDescent="0.25"/>
    <row r="2076" ht="19.7" customHeight="1" x14ac:dyDescent="0.25"/>
    <row r="2077" ht="19.7" customHeight="1" x14ac:dyDescent="0.25"/>
    <row r="2078" ht="19.7" customHeight="1" x14ac:dyDescent="0.25"/>
    <row r="2079" ht="19.7" customHeight="1" x14ac:dyDescent="0.25"/>
    <row r="2080" ht="19.7" customHeight="1" x14ac:dyDescent="0.25"/>
    <row r="2081" ht="19.7" customHeight="1" x14ac:dyDescent="0.25"/>
    <row r="2082" ht="19.7" customHeight="1" x14ac:dyDescent="0.25"/>
    <row r="2083" ht="19.7" customHeight="1" x14ac:dyDescent="0.25"/>
    <row r="2084" ht="19.7" customHeight="1" x14ac:dyDescent="0.25"/>
    <row r="2085" ht="19.7" customHeight="1" x14ac:dyDescent="0.25"/>
    <row r="2086" ht="19.7" customHeight="1" x14ac:dyDescent="0.25"/>
    <row r="2087" ht="19.7" customHeight="1" x14ac:dyDescent="0.25"/>
    <row r="2088" ht="19.7" customHeight="1" x14ac:dyDescent="0.25"/>
    <row r="2089" ht="19.7" customHeight="1" x14ac:dyDescent="0.25"/>
    <row r="2090" ht="19.7" customHeight="1" x14ac:dyDescent="0.25"/>
    <row r="2091" ht="19.7" customHeight="1" x14ac:dyDescent="0.25"/>
    <row r="2092" ht="19.7" customHeight="1" x14ac:dyDescent="0.25"/>
    <row r="2093" ht="19.7" customHeight="1" x14ac:dyDescent="0.25"/>
    <row r="2094" ht="19.7" customHeight="1" x14ac:dyDescent="0.25"/>
    <row r="2095" ht="19.7" customHeight="1" x14ac:dyDescent="0.25"/>
    <row r="2096" ht="19.7" customHeight="1" x14ac:dyDescent="0.25"/>
    <row r="2097" ht="19.7" customHeight="1" x14ac:dyDescent="0.25"/>
    <row r="2098" ht="19.7" customHeight="1" x14ac:dyDescent="0.25"/>
    <row r="2099" ht="19.7" customHeight="1" x14ac:dyDescent="0.25"/>
    <row r="2100" ht="19.7" customHeight="1" x14ac:dyDescent="0.25"/>
    <row r="2101" ht="19.7" customHeight="1" x14ac:dyDescent="0.25"/>
    <row r="2102" ht="19.7" customHeight="1" x14ac:dyDescent="0.25"/>
    <row r="2103" ht="19.7" customHeight="1" x14ac:dyDescent="0.25"/>
    <row r="2104" ht="19.7" customHeight="1" x14ac:dyDescent="0.25"/>
    <row r="2105" ht="19.7" customHeight="1" x14ac:dyDescent="0.25"/>
    <row r="2106" ht="19.7" customHeight="1" x14ac:dyDescent="0.25"/>
    <row r="2107" ht="19.7" customHeight="1" x14ac:dyDescent="0.25"/>
    <row r="2108" ht="19.7" customHeight="1" x14ac:dyDescent="0.25"/>
    <row r="2109" ht="19.7" customHeight="1" x14ac:dyDescent="0.25"/>
    <row r="2110" ht="19.7" customHeight="1" x14ac:dyDescent="0.25"/>
    <row r="2111" ht="19.7" customHeight="1" x14ac:dyDescent="0.25"/>
    <row r="2112" ht="19.7" customHeight="1" x14ac:dyDescent="0.25"/>
    <row r="2113" ht="19.7" customHeight="1" x14ac:dyDescent="0.25"/>
    <row r="2114" ht="19.7" customHeight="1" x14ac:dyDescent="0.25"/>
    <row r="2115" ht="19.7" customHeight="1" x14ac:dyDescent="0.25"/>
    <row r="2116" ht="19.7" customHeight="1" x14ac:dyDescent="0.25"/>
    <row r="2117" ht="19.7" customHeight="1" x14ac:dyDescent="0.25"/>
    <row r="2118" ht="19.7" customHeight="1" x14ac:dyDescent="0.25"/>
    <row r="2119" ht="19.7" customHeight="1" x14ac:dyDescent="0.25"/>
    <row r="2120" ht="19.7" customHeight="1" x14ac:dyDescent="0.25"/>
    <row r="2121" ht="19.7" customHeight="1" x14ac:dyDescent="0.25"/>
    <row r="2122" ht="19.7" customHeight="1" x14ac:dyDescent="0.25"/>
    <row r="2123" ht="19.7" customHeight="1" x14ac:dyDescent="0.25"/>
    <row r="2124" ht="19.7" customHeight="1" x14ac:dyDescent="0.25"/>
    <row r="2125" ht="19.7" customHeight="1" x14ac:dyDescent="0.25"/>
    <row r="2126" ht="19.7" customHeight="1" x14ac:dyDescent="0.25"/>
    <row r="2127" ht="19.7" customHeight="1" x14ac:dyDescent="0.25"/>
    <row r="2128" ht="19.7" customHeight="1" x14ac:dyDescent="0.25"/>
    <row r="2129" ht="19.7" customHeight="1" x14ac:dyDescent="0.25"/>
    <row r="2130" ht="19.7" customHeight="1" x14ac:dyDescent="0.25"/>
    <row r="2131" ht="19.7" customHeight="1" x14ac:dyDescent="0.25"/>
    <row r="2132" ht="19.7" customHeight="1" x14ac:dyDescent="0.25"/>
    <row r="2133" ht="19.7" customHeight="1" x14ac:dyDescent="0.25"/>
    <row r="2134" ht="19.7" customHeight="1" x14ac:dyDescent="0.25"/>
    <row r="2135" ht="19.7" customHeight="1" x14ac:dyDescent="0.25"/>
    <row r="2136" ht="19.7" customHeight="1" x14ac:dyDescent="0.25"/>
    <row r="2137" ht="19.7" customHeight="1" x14ac:dyDescent="0.25"/>
    <row r="2138" ht="19.7" customHeight="1" x14ac:dyDescent="0.25"/>
    <row r="2139" ht="19.7" customHeight="1" x14ac:dyDescent="0.25"/>
    <row r="2140" ht="19.7" customHeight="1" x14ac:dyDescent="0.25"/>
    <row r="2141" ht="19.7" customHeight="1" x14ac:dyDescent="0.25"/>
    <row r="2142" ht="19.7" customHeight="1" x14ac:dyDescent="0.25"/>
    <row r="2143" ht="19.7" customHeight="1" x14ac:dyDescent="0.25"/>
    <row r="2144" ht="19.7" customHeight="1" x14ac:dyDescent="0.25"/>
    <row r="2145" ht="19.7" customHeight="1" x14ac:dyDescent="0.25"/>
    <row r="2146" ht="19.7" customHeight="1" x14ac:dyDescent="0.25"/>
    <row r="2147" ht="19.7" customHeight="1" x14ac:dyDescent="0.25"/>
    <row r="2148" ht="19.7" customHeight="1" x14ac:dyDescent="0.25"/>
    <row r="2149" ht="19.7" customHeight="1" x14ac:dyDescent="0.25"/>
    <row r="2150" ht="19.7" customHeight="1" x14ac:dyDescent="0.25"/>
    <row r="2151" ht="19.7" customHeight="1" x14ac:dyDescent="0.25"/>
    <row r="2152" ht="19.7" customHeight="1" x14ac:dyDescent="0.25"/>
    <row r="2153" ht="19.7" customHeight="1" x14ac:dyDescent="0.25"/>
    <row r="2154" ht="19.7" customHeight="1" x14ac:dyDescent="0.25"/>
    <row r="2155" ht="19.7" customHeight="1" x14ac:dyDescent="0.25"/>
    <row r="2156" ht="19.7" customHeight="1" x14ac:dyDescent="0.25"/>
    <row r="2157" ht="19.7" customHeight="1" x14ac:dyDescent="0.25"/>
    <row r="2158" ht="19.7" customHeight="1" x14ac:dyDescent="0.25"/>
    <row r="2159" ht="19.7" customHeight="1" x14ac:dyDescent="0.25"/>
    <row r="2160" ht="19.7" customHeight="1" x14ac:dyDescent="0.25"/>
    <row r="2161" ht="19.7" customHeight="1" x14ac:dyDescent="0.25"/>
    <row r="2162" ht="19.7" customHeight="1" x14ac:dyDescent="0.25"/>
    <row r="2163" ht="19.7" customHeight="1" x14ac:dyDescent="0.25"/>
    <row r="2164" ht="19.7" customHeight="1" x14ac:dyDescent="0.25"/>
    <row r="2165" ht="19.7" customHeight="1" x14ac:dyDescent="0.25"/>
    <row r="2166" ht="19.7" customHeight="1" x14ac:dyDescent="0.25"/>
    <row r="2167" ht="19.7" customHeight="1" x14ac:dyDescent="0.25"/>
    <row r="2168" ht="19.7" customHeight="1" x14ac:dyDescent="0.25"/>
    <row r="2169" ht="19.7" customHeight="1" x14ac:dyDescent="0.25"/>
    <row r="2170" ht="19.7" customHeight="1" x14ac:dyDescent="0.25"/>
    <row r="2171" ht="19.7" customHeight="1" x14ac:dyDescent="0.25"/>
    <row r="2172" ht="19.7" customHeight="1" x14ac:dyDescent="0.25"/>
    <row r="2173" ht="19.7" customHeight="1" x14ac:dyDescent="0.25"/>
    <row r="2174" ht="19.7" customHeight="1" x14ac:dyDescent="0.25"/>
    <row r="2175" ht="19.7" customHeight="1" x14ac:dyDescent="0.25"/>
    <row r="2176" ht="19.7" customHeight="1" x14ac:dyDescent="0.25"/>
    <row r="2177" ht="19.7" customHeight="1" x14ac:dyDescent="0.25"/>
    <row r="2178" ht="19.7" customHeight="1" x14ac:dyDescent="0.25"/>
    <row r="2179" ht="19.7" customHeight="1" x14ac:dyDescent="0.25"/>
    <row r="2180" ht="19.7" customHeight="1" x14ac:dyDescent="0.25"/>
    <row r="2181" ht="19.7" customHeight="1" x14ac:dyDescent="0.25"/>
    <row r="2182" ht="19.7" customHeight="1" x14ac:dyDescent="0.25"/>
    <row r="2183" ht="19.7" customHeight="1" x14ac:dyDescent="0.25"/>
    <row r="2184" ht="19.7" customHeight="1" x14ac:dyDescent="0.25"/>
    <row r="2185" ht="19.7" customHeight="1" x14ac:dyDescent="0.25"/>
    <row r="2186" ht="19.7" customHeight="1" x14ac:dyDescent="0.25"/>
    <row r="2187" ht="19.7" customHeight="1" x14ac:dyDescent="0.25"/>
    <row r="2188" ht="19.7" customHeight="1" x14ac:dyDescent="0.25"/>
    <row r="2189" ht="19.7" customHeight="1" x14ac:dyDescent="0.25"/>
    <row r="2190" ht="19.7" customHeight="1" x14ac:dyDescent="0.25"/>
    <row r="2191" ht="19.7" customHeight="1" x14ac:dyDescent="0.25"/>
    <row r="2192" ht="19.7" customHeight="1" x14ac:dyDescent="0.25"/>
    <row r="2193" ht="19.7" customHeight="1" x14ac:dyDescent="0.25"/>
    <row r="2194" ht="19.7" customHeight="1" x14ac:dyDescent="0.25"/>
    <row r="2195" ht="19.7" customHeight="1" x14ac:dyDescent="0.25"/>
    <row r="2196" ht="19.7" customHeight="1" x14ac:dyDescent="0.25"/>
    <row r="2197" ht="19.7" customHeight="1" x14ac:dyDescent="0.25"/>
    <row r="2198" ht="19.7" customHeight="1" x14ac:dyDescent="0.25"/>
    <row r="2199" ht="19.7" customHeight="1" x14ac:dyDescent="0.25"/>
    <row r="2200" ht="19.7" customHeight="1" x14ac:dyDescent="0.25"/>
    <row r="2201" ht="19.7" customHeight="1" x14ac:dyDescent="0.25"/>
    <row r="2202" ht="19.7" customHeight="1" x14ac:dyDescent="0.25"/>
    <row r="2203" ht="19.7" customHeight="1" x14ac:dyDescent="0.25"/>
    <row r="2204" ht="19.7" customHeight="1" x14ac:dyDescent="0.25"/>
    <row r="2205" ht="19.7" customHeight="1" x14ac:dyDescent="0.25"/>
    <row r="2206" ht="19.7" customHeight="1" x14ac:dyDescent="0.25"/>
    <row r="2207" ht="19.7" customHeight="1" x14ac:dyDescent="0.25"/>
    <row r="2208" ht="19.7" customHeight="1" x14ac:dyDescent="0.25"/>
    <row r="2209" ht="19.7" customHeight="1" x14ac:dyDescent="0.25"/>
    <row r="2210" ht="19.7" customHeight="1" x14ac:dyDescent="0.25"/>
    <row r="2211" ht="19.7" customHeight="1" x14ac:dyDescent="0.25"/>
    <row r="2212" ht="19.7" customHeight="1" x14ac:dyDescent="0.25"/>
    <row r="2213" ht="19.7" customHeight="1" x14ac:dyDescent="0.25"/>
    <row r="2214" ht="19.7" customHeight="1" x14ac:dyDescent="0.25"/>
    <row r="2215" ht="19.7" customHeight="1" x14ac:dyDescent="0.25"/>
    <row r="2216" ht="19.7" customHeight="1" x14ac:dyDescent="0.25"/>
    <row r="2217" ht="19.7" customHeight="1" x14ac:dyDescent="0.25"/>
    <row r="2218" ht="19.7" customHeight="1" x14ac:dyDescent="0.25"/>
    <row r="2219" ht="19.7" customHeight="1" x14ac:dyDescent="0.25"/>
    <row r="2220" ht="19.7" customHeight="1" x14ac:dyDescent="0.25"/>
    <row r="2221" ht="19.7" customHeight="1" x14ac:dyDescent="0.25"/>
    <row r="2222" ht="19.7" customHeight="1" x14ac:dyDescent="0.25"/>
    <row r="2223" ht="19.7" customHeight="1" x14ac:dyDescent="0.25"/>
    <row r="2224" ht="19.7" customHeight="1" x14ac:dyDescent="0.25"/>
    <row r="2225" ht="19.7" customHeight="1" x14ac:dyDescent="0.25"/>
    <row r="2226" ht="19.7" customHeight="1" x14ac:dyDescent="0.25"/>
    <row r="2227" ht="19.7" customHeight="1" x14ac:dyDescent="0.25"/>
    <row r="2228" ht="19.7" customHeight="1" x14ac:dyDescent="0.25"/>
    <row r="2229" ht="19.7" customHeight="1" x14ac:dyDescent="0.25"/>
    <row r="2230" ht="19.7" customHeight="1" x14ac:dyDescent="0.25"/>
    <row r="2231" ht="19.7" customHeight="1" x14ac:dyDescent="0.25"/>
    <row r="2232" ht="19.7" customHeight="1" x14ac:dyDescent="0.25"/>
    <row r="2233" ht="19.7" customHeight="1" x14ac:dyDescent="0.25"/>
    <row r="2234" ht="19.7" customHeight="1" x14ac:dyDescent="0.25"/>
    <row r="2235" ht="19.7" customHeight="1" x14ac:dyDescent="0.25"/>
    <row r="2236" ht="19.7" customHeight="1" x14ac:dyDescent="0.25"/>
    <row r="2237" ht="19.7" customHeight="1" x14ac:dyDescent="0.25"/>
    <row r="2238" ht="19.7" customHeight="1" x14ac:dyDescent="0.25"/>
    <row r="2239" ht="19.7" customHeight="1" x14ac:dyDescent="0.25"/>
    <row r="2240" ht="19.7" customHeight="1" x14ac:dyDescent="0.25"/>
    <row r="2241" ht="19.7" customHeight="1" x14ac:dyDescent="0.25"/>
    <row r="2242" ht="19.7" customHeight="1" x14ac:dyDescent="0.25"/>
    <row r="2243" ht="19.7" customHeight="1" x14ac:dyDescent="0.25"/>
    <row r="2244" ht="19.7" customHeight="1" x14ac:dyDescent="0.25"/>
    <row r="2245" ht="19.7" customHeight="1" x14ac:dyDescent="0.25"/>
    <row r="2246" ht="19.7" customHeight="1" x14ac:dyDescent="0.25"/>
    <row r="2247" ht="19.7" customHeight="1" x14ac:dyDescent="0.25"/>
    <row r="2248" ht="19.7" customHeight="1" x14ac:dyDescent="0.25"/>
    <row r="2249" ht="19.7" customHeight="1" x14ac:dyDescent="0.25"/>
    <row r="2250" ht="19.7" customHeight="1" x14ac:dyDescent="0.25"/>
    <row r="2251" ht="19.7" customHeight="1" x14ac:dyDescent="0.25"/>
    <row r="2252" ht="19.7" customHeight="1" x14ac:dyDescent="0.25"/>
    <row r="2253" ht="19.7" customHeight="1" x14ac:dyDescent="0.25"/>
    <row r="2254" ht="19.7" customHeight="1" x14ac:dyDescent="0.25"/>
    <row r="2255" ht="19.7" customHeight="1" x14ac:dyDescent="0.25"/>
    <row r="2256" ht="19.7" customHeight="1" x14ac:dyDescent="0.25"/>
    <row r="2257" ht="19.7" customHeight="1" x14ac:dyDescent="0.25"/>
    <row r="2258" ht="19.7" customHeight="1" x14ac:dyDescent="0.25"/>
    <row r="2259" ht="19.7" customHeight="1" x14ac:dyDescent="0.25"/>
    <row r="2260" ht="19.7" customHeight="1" x14ac:dyDescent="0.25"/>
    <row r="2261" ht="19.7" customHeight="1" x14ac:dyDescent="0.25"/>
    <row r="2262" ht="19.7" customHeight="1" x14ac:dyDescent="0.25"/>
    <row r="2263" ht="19.7" customHeight="1" x14ac:dyDescent="0.25"/>
    <row r="2264" ht="19.7" customHeight="1" x14ac:dyDescent="0.25"/>
    <row r="2265" ht="19.7" customHeight="1" x14ac:dyDescent="0.25"/>
    <row r="2266" ht="19.7" customHeight="1" x14ac:dyDescent="0.25"/>
    <row r="2267" ht="19.7" customHeight="1" x14ac:dyDescent="0.25"/>
    <row r="2268" ht="19.7" customHeight="1" x14ac:dyDescent="0.25"/>
    <row r="2269" ht="19.7" customHeight="1" x14ac:dyDescent="0.25"/>
    <row r="2270" ht="19.7" customHeight="1" x14ac:dyDescent="0.25"/>
    <row r="2271" ht="19.7" customHeight="1" x14ac:dyDescent="0.25"/>
    <row r="2272" ht="19.7" customHeight="1" x14ac:dyDescent="0.25"/>
    <row r="2273" ht="19.7" customHeight="1" x14ac:dyDescent="0.25"/>
    <row r="2274" ht="19.7" customHeight="1" x14ac:dyDescent="0.25"/>
    <row r="2275" ht="19.7" customHeight="1" x14ac:dyDescent="0.25"/>
    <row r="2276" ht="19.7" customHeight="1" x14ac:dyDescent="0.25"/>
    <row r="2277" ht="19.7" customHeight="1" x14ac:dyDescent="0.25"/>
    <row r="2278" ht="19.7" customHeight="1" x14ac:dyDescent="0.25"/>
    <row r="2279" ht="19.7" customHeight="1" x14ac:dyDescent="0.25"/>
    <row r="2280" ht="19.7" customHeight="1" x14ac:dyDescent="0.25"/>
    <row r="2281" ht="19.7" customHeight="1" x14ac:dyDescent="0.25"/>
    <row r="2282" ht="19.7" customHeight="1" x14ac:dyDescent="0.25"/>
    <row r="2283" ht="19.7" customHeight="1" x14ac:dyDescent="0.25"/>
    <row r="2284" ht="19.7" customHeight="1" x14ac:dyDescent="0.25"/>
    <row r="2285" ht="19.7" customHeight="1" x14ac:dyDescent="0.25"/>
    <row r="2286" ht="19.7" customHeight="1" x14ac:dyDescent="0.25"/>
    <row r="2287" ht="19.7" customHeight="1" x14ac:dyDescent="0.25"/>
    <row r="2288" ht="19.7" customHeight="1" x14ac:dyDescent="0.25"/>
    <row r="2289" ht="19.7" customHeight="1" x14ac:dyDescent="0.25"/>
    <row r="2290" ht="19.7" customHeight="1" x14ac:dyDescent="0.25"/>
    <row r="2291" ht="19.7" customHeight="1" x14ac:dyDescent="0.25"/>
    <row r="2292" ht="19.7" customHeight="1" x14ac:dyDescent="0.25"/>
    <row r="2293" ht="19.7" customHeight="1" x14ac:dyDescent="0.25"/>
    <row r="2294" ht="19.7" customHeight="1" x14ac:dyDescent="0.25"/>
    <row r="2295" ht="19.7" customHeight="1" x14ac:dyDescent="0.25"/>
    <row r="2296" ht="19.7" customHeight="1" x14ac:dyDescent="0.25"/>
    <row r="2297" ht="19.7" customHeight="1" x14ac:dyDescent="0.25"/>
    <row r="2298" ht="19.7" customHeight="1" x14ac:dyDescent="0.25"/>
    <row r="2299" ht="19.7" customHeight="1" x14ac:dyDescent="0.25"/>
    <row r="2300" ht="19.7" customHeight="1" x14ac:dyDescent="0.25"/>
    <row r="2301" ht="19.7" customHeight="1" x14ac:dyDescent="0.25"/>
    <row r="2302" ht="19.7" customHeight="1" x14ac:dyDescent="0.25"/>
    <row r="2303" ht="19.7" customHeight="1" x14ac:dyDescent="0.25"/>
    <row r="2304" ht="19.7" customHeight="1" x14ac:dyDescent="0.25"/>
    <row r="2305" ht="19.7" customHeight="1" x14ac:dyDescent="0.25"/>
    <row r="2306" ht="19.7" customHeight="1" x14ac:dyDescent="0.25"/>
    <row r="2307" ht="19.7" customHeight="1" x14ac:dyDescent="0.25"/>
    <row r="2308" ht="19.7" customHeight="1" x14ac:dyDescent="0.25"/>
    <row r="2309" ht="19.7" customHeight="1" x14ac:dyDescent="0.25"/>
    <row r="2310" ht="19.7" customHeight="1" x14ac:dyDescent="0.25"/>
    <row r="2311" ht="19.7" customHeight="1" x14ac:dyDescent="0.25"/>
    <row r="2312" ht="19.7" customHeight="1" x14ac:dyDescent="0.25"/>
    <row r="2313" ht="19.7" customHeight="1" x14ac:dyDescent="0.25"/>
    <row r="2314" ht="19.7" customHeight="1" x14ac:dyDescent="0.25"/>
    <row r="2315" ht="19.7" customHeight="1" x14ac:dyDescent="0.25"/>
    <row r="2316" ht="19.7" customHeight="1" x14ac:dyDescent="0.25"/>
    <row r="2317" ht="19.7" customHeight="1" x14ac:dyDescent="0.25"/>
    <row r="2318" ht="19.7" customHeight="1" x14ac:dyDescent="0.25"/>
    <row r="2319" ht="19.7" customHeight="1" x14ac:dyDescent="0.25"/>
    <row r="2320" ht="19.7" customHeight="1" x14ac:dyDescent="0.25"/>
    <row r="2321" ht="19.7" customHeight="1" x14ac:dyDescent="0.25"/>
    <row r="2322" ht="19.7" customHeight="1" x14ac:dyDescent="0.25"/>
    <row r="2323" ht="19.7" customHeight="1" x14ac:dyDescent="0.25"/>
    <row r="2324" ht="19.7" customHeight="1" x14ac:dyDescent="0.25"/>
    <row r="2325" ht="19.7" customHeight="1" x14ac:dyDescent="0.25"/>
    <row r="2326" ht="19.7" customHeight="1" x14ac:dyDescent="0.25"/>
    <row r="2327" ht="19.7" customHeight="1" x14ac:dyDescent="0.25"/>
    <row r="2328" ht="19.7" customHeight="1" x14ac:dyDescent="0.25"/>
    <row r="2329" ht="19.7" customHeight="1" x14ac:dyDescent="0.25"/>
    <row r="2330" ht="19.7" customHeight="1" x14ac:dyDescent="0.25"/>
    <row r="2331" ht="19.7" customHeight="1" x14ac:dyDescent="0.25"/>
    <row r="2332" ht="19.7" customHeight="1" x14ac:dyDescent="0.25"/>
    <row r="2333" ht="19.7" customHeight="1" x14ac:dyDescent="0.25"/>
    <row r="2334" ht="19.7" customHeight="1" x14ac:dyDescent="0.25"/>
    <row r="2335" ht="19.7" customHeight="1" x14ac:dyDescent="0.25"/>
    <row r="2336" ht="19.7" customHeight="1" x14ac:dyDescent="0.25"/>
    <row r="2337" ht="19.7" customHeight="1" x14ac:dyDescent="0.25"/>
    <row r="2338" ht="19.7" customHeight="1" x14ac:dyDescent="0.25"/>
    <row r="2339" ht="19.7" customHeight="1" x14ac:dyDescent="0.25"/>
    <row r="2340" ht="19.7" customHeight="1" x14ac:dyDescent="0.25"/>
    <row r="2341" ht="19.7" customHeight="1" x14ac:dyDescent="0.25"/>
    <row r="2342" ht="19.7" customHeight="1" x14ac:dyDescent="0.25"/>
    <row r="2343" ht="19.7" customHeight="1" x14ac:dyDescent="0.25"/>
    <row r="2344" ht="19.7" customHeight="1" x14ac:dyDescent="0.25"/>
    <row r="2345" ht="19.7" customHeight="1" x14ac:dyDescent="0.25"/>
    <row r="2346" ht="19.7" customHeight="1" x14ac:dyDescent="0.25"/>
    <row r="2347" ht="19.7" customHeight="1" x14ac:dyDescent="0.25"/>
    <row r="2348" ht="19.7" customHeight="1" x14ac:dyDescent="0.25"/>
    <row r="2349" ht="19.7" customHeight="1" x14ac:dyDescent="0.25"/>
    <row r="2350" ht="19.7" customHeight="1" x14ac:dyDescent="0.25"/>
    <row r="2351" ht="19.7" customHeight="1" x14ac:dyDescent="0.25"/>
    <row r="2352" ht="19.7" customHeight="1" x14ac:dyDescent="0.25"/>
    <row r="2353" ht="19.7" customHeight="1" x14ac:dyDescent="0.25"/>
    <row r="2354" ht="19.7" customHeight="1" x14ac:dyDescent="0.25"/>
    <row r="2355" ht="19.7" customHeight="1" x14ac:dyDescent="0.25"/>
    <row r="2356" ht="19.7" customHeight="1" x14ac:dyDescent="0.25"/>
    <row r="2357" ht="19.7" customHeight="1" x14ac:dyDescent="0.25"/>
    <row r="2358" ht="19.7" customHeight="1" x14ac:dyDescent="0.25"/>
    <row r="2359" ht="19.7" customHeight="1" x14ac:dyDescent="0.25"/>
    <row r="2360" ht="19.7" customHeight="1" x14ac:dyDescent="0.25"/>
    <row r="2361" ht="19.7" customHeight="1" x14ac:dyDescent="0.25"/>
    <row r="2362" ht="19.7" customHeight="1" x14ac:dyDescent="0.25"/>
    <row r="2363" ht="19.7" customHeight="1" x14ac:dyDescent="0.25"/>
    <row r="2364" ht="19.7" customHeight="1" x14ac:dyDescent="0.25"/>
    <row r="2365" ht="19.7" customHeight="1" x14ac:dyDescent="0.25"/>
    <row r="2366" ht="19.7" customHeight="1" x14ac:dyDescent="0.25"/>
    <row r="2367" ht="19.7" customHeight="1" x14ac:dyDescent="0.25"/>
    <row r="2368" ht="19.7" customHeight="1" x14ac:dyDescent="0.25"/>
    <row r="2369" ht="19.7" customHeight="1" x14ac:dyDescent="0.25"/>
    <row r="2370" ht="19.7" customHeight="1" x14ac:dyDescent="0.25"/>
    <row r="2371" ht="19.7" customHeight="1" x14ac:dyDescent="0.25"/>
    <row r="2372" ht="19.7" customHeight="1" x14ac:dyDescent="0.25"/>
    <row r="2373" ht="19.7" customHeight="1" x14ac:dyDescent="0.25"/>
    <row r="2374" ht="19.7" customHeight="1" x14ac:dyDescent="0.25"/>
    <row r="2375" ht="19.7" customHeight="1" x14ac:dyDescent="0.25"/>
    <row r="2376" ht="19.7" customHeight="1" x14ac:dyDescent="0.25"/>
    <row r="2377" ht="19.7" customHeight="1" x14ac:dyDescent="0.25"/>
    <row r="2378" ht="19.7" customHeight="1" x14ac:dyDescent="0.25"/>
    <row r="2379" ht="19.7" customHeight="1" x14ac:dyDescent="0.25"/>
    <row r="2380" ht="19.7" customHeight="1" x14ac:dyDescent="0.25"/>
    <row r="2381" ht="19.7" customHeight="1" x14ac:dyDescent="0.25"/>
    <row r="2382" ht="19.7" customHeight="1" x14ac:dyDescent="0.25"/>
    <row r="2383" ht="19.7" customHeight="1" x14ac:dyDescent="0.25"/>
    <row r="2384" ht="19.7" customHeight="1" x14ac:dyDescent="0.25"/>
    <row r="2385" ht="19.7" customHeight="1" x14ac:dyDescent="0.25"/>
    <row r="2386" ht="19.7" customHeight="1" x14ac:dyDescent="0.25"/>
    <row r="2387" ht="19.7" customHeight="1" x14ac:dyDescent="0.25"/>
    <row r="2388" ht="19.7" customHeight="1" x14ac:dyDescent="0.25"/>
    <row r="2389" ht="19.7" customHeight="1" x14ac:dyDescent="0.25"/>
    <row r="2390" ht="19.7" customHeight="1" x14ac:dyDescent="0.25"/>
    <row r="2391" ht="19.7" customHeight="1" x14ac:dyDescent="0.25"/>
    <row r="2392" ht="19.7" customHeight="1" x14ac:dyDescent="0.25"/>
    <row r="2393" ht="19.7" customHeight="1" x14ac:dyDescent="0.25"/>
    <row r="2394" ht="19.7" customHeight="1" x14ac:dyDescent="0.25"/>
    <row r="2395" ht="19.7" customHeight="1" x14ac:dyDescent="0.25"/>
    <row r="2396" ht="19.7" customHeight="1" x14ac:dyDescent="0.25"/>
    <row r="2397" ht="19.7" customHeight="1" x14ac:dyDescent="0.25"/>
    <row r="2398" ht="19.7" customHeight="1" x14ac:dyDescent="0.25"/>
    <row r="2399" ht="19.7" customHeight="1" x14ac:dyDescent="0.25"/>
    <row r="2400" ht="19.7" customHeight="1" x14ac:dyDescent="0.25"/>
    <row r="2401" ht="19.7" customHeight="1" x14ac:dyDescent="0.25"/>
    <row r="2402" ht="19.7" customHeight="1" x14ac:dyDescent="0.25"/>
    <row r="2403" ht="19.7" customHeight="1" x14ac:dyDescent="0.25"/>
    <row r="2404" ht="19.7" customHeight="1" x14ac:dyDescent="0.25"/>
    <row r="2405" ht="19.7" customHeight="1" x14ac:dyDescent="0.25"/>
    <row r="2406" ht="19.7" customHeight="1" x14ac:dyDescent="0.25"/>
    <row r="2407" ht="19.7" customHeight="1" x14ac:dyDescent="0.25"/>
    <row r="2408" ht="19.7" customHeight="1" x14ac:dyDescent="0.25"/>
    <row r="2409" ht="19.7" customHeight="1" x14ac:dyDescent="0.25"/>
    <row r="2410" ht="19.7" customHeight="1" x14ac:dyDescent="0.25"/>
    <row r="2411" ht="19.7" customHeight="1" x14ac:dyDescent="0.25"/>
    <row r="2412" ht="19.7" customHeight="1" x14ac:dyDescent="0.25"/>
    <row r="2413" ht="19.7" customHeight="1" x14ac:dyDescent="0.25"/>
    <row r="2414" ht="19.7" customHeight="1" x14ac:dyDescent="0.25"/>
    <row r="2415" ht="19.7" customHeight="1" x14ac:dyDescent="0.25"/>
    <row r="2416" ht="19.7" customHeight="1" x14ac:dyDescent="0.25"/>
    <row r="2417" ht="19.7" customHeight="1" x14ac:dyDescent="0.25"/>
    <row r="2418" ht="19.7" customHeight="1" x14ac:dyDescent="0.25"/>
    <row r="2419" ht="19.7" customHeight="1" x14ac:dyDescent="0.25"/>
    <row r="2420" ht="19.7" customHeight="1" x14ac:dyDescent="0.25"/>
    <row r="2421" ht="19.7" customHeight="1" x14ac:dyDescent="0.25"/>
    <row r="2422" ht="19.7" customHeight="1" x14ac:dyDescent="0.25"/>
    <row r="2423" ht="19.7" customHeight="1" x14ac:dyDescent="0.25"/>
    <row r="2424" ht="19.7" customHeight="1" x14ac:dyDescent="0.25"/>
    <row r="2425" ht="19.7" customHeight="1" x14ac:dyDescent="0.25"/>
    <row r="2426" ht="19.7" customHeight="1" x14ac:dyDescent="0.25"/>
    <row r="2427" ht="19.7" customHeight="1" x14ac:dyDescent="0.25"/>
    <row r="2428" ht="19.7" customHeight="1" x14ac:dyDescent="0.25"/>
    <row r="2429" ht="19.7" customHeight="1" x14ac:dyDescent="0.25"/>
    <row r="2430" ht="19.7" customHeight="1" x14ac:dyDescent="0.25"/>
    <row r="2431" ht="19.7" customHeight="1" x14ac:dyDescent="0.25"/>
    <row r="2432" ht="19.7" customHeight="1" x14ac:dyDescent="0.25"/>
    <row r="2433" ht="19.7" customHeight="1" x14ac:dyDescent="0.25"/>
    <row r="2434" ht="19.7" customHeight="1" x14ac:dyDescent="0.25"/>
    <row r="2435" ht="19.7" customHeight="1" x14ac:dyDescent="0.25"/>
    <row r="2436" ht="19.7" customHeight="1" x14ac:dyDescent="0.25"/>
    <row r="2437" ht="19.7" customHeight="1" x14ac:dyDescent="0.25"/>
    <row r="2438" ht="19.7" customHeight="1" x14ac:dyDescent="0.25"/>
    <row r="2439" ht="19.7" customHeight="1" x14ac:dyDescent="0.25"/>
    <row r="2440" ht="19.7" customHeight="1" x14ac:dyDescent="0.25"/>
    <row r="2441" ht="19.7" customHeight="1" x14ac:dyDescent="0.25"/>
    <row r="2442" ht="19.7" customHeight="1" x14ac:dyDescent="0.25"/>
    <row r="2443" ht="19.7" customHeight="1" x14ac:dyDescent="0.25"/>
    <row r="2444" ht="19.7" customHeight="1" x14ac:dyDescent="0.25"/>
    <row r="2445" ht="19.7" customHeight="1" x14ac:dyDescent="0.25"/>
    <row r="2446" ht="19.7" customHeight="1" x14ac:dyDescent="0.25"/>
    <row r="2447" ht="19.7" customHeight="1" x14ac:dyDescent="0.25"/>
    <row r="2448" ht="19.7" customHeight="1" x14ac:dyDescent="0.25"/>
    <row r="2449" ht="19.7" customHeight="1" x14ac:dyDescent="0.25"/>
    <row r="2450" ht="19.7" customHeight="1" x14ac:dyDescent="0.25"/>
    <row r="2451" ht="19.7" customHeight="1" x14ac:dyDescent="0.25"/>
    <row r="2452" ht="19.7" customHeight="1" x14ac:dyDescent="0.25"/>
    <row r="2453" ht="19.7" customHeight="1" x14ac:dyDescent="0.25"/>
    <row r="2454" ht="19.7" customHeight="1" x14ac:dyDescent="0.25"/>
    <row r="2455" ht="19.7" customHeight="1" x14ac:dyDescent="0.25"/>
    <row r="2456" ht="19.7" customHeight="1" x14ac:dyDescent="0.25"/>
    <row r="2457" ht="19.7" customHeight="1" x14ac:dyDescent="0.25"/>
    <row r="2458" ht="19.7" customHeight="1" x14ac:dyDescent="0.25"/>
    <row r="2459" ht="19.7" customHeight="1" x14ac:dyDescent="0.25"/>
    <row r="2460" ht="19.7" customHeight="1" x14ac:dyDescent="0.25"/>
    <row r="2461" ht="19.7" customHeight="1" x14ac:dyDescent="0.25"/>
    <row r="2462" ht="19.7" customHeight="1" x14ac:dyDescent="0.25"/>
    <row r="2463" ht="19.7" customHeight="1" x14ac:dyDescent="0.25"/>
    <row r="2464" ht="19.7" customHeight="1" x14ac:dyDescent="0.25"/>
    <row r="2465" ht="19.7" customHeight="1" x14ac:dyDescent="0.25"/>
    <row r="2466" ht="19.7" customHeight="1" x14ac:dyDescent="0.25"/>
    <row r="2467" ht="19.7" customHeight="1" x14ac:dyDescent="0.25"/>
    <row r="2468" ht="19.7" customHeight="1" x14ac:dyDescent="0.25"/>
    <row r="2469" ht="19.7" customHeight="1" x14ac:dyDescent="0.25"/>
    <row r="2470" ht="19.7" customHeight="1" x14ac:dyDescent="0.25"/>
    <row r="2471" ht="19.7" customHeight="1" x14ac:dyDescent="0.25"/>
    <row r="2472" ht="19.7" customHeight="1" x14ac:dyDescent="0.25"/>
    <row r="2473" ht="19.7" customHeight="1" x14ac:dyDescent="0.25"/>
    <row r="2474" ht="19.7" customHeight="1" x14ac:dyDescent="0.25"/>
    <row r="2475" ht="19.7" customHeight="1" x14ac:dyDescent="0.25"/>
    <row r="2476" ht="19.7" customHeight="1" x14ac:dyDescent="0.25"/>
    <row r="2477" ht="19.7" customHeight="1" x14ac:dyDescent="0.25"/>
    <row r="2478" ht="19.7" customHeight="1" x14ac:dyDescent="0.25"/>
    <row r="2479" ht="19.7" customHeight="1" x14ac:dyDescent="0.25"/>
    <row r="2480" ht="19.7" customHeight="1" x14ac:dyDescent="0.25"/>
    <row r="2481" ht="19.7" customHeight="1" x14ac:dyDescent="0.25"/>
    <row r="2482" ht="19.7" customHeight="1" x14ac:dyDescent="0.25"/>
    <row r="2483" ht="19.7" customHeight="1" x14ac:dyDescent="0.25"/>
    <row r="2484" ht="19.7" customHeight="1" x14ac:dyDescent="0.25"/>
    <row r="2485" ht="19.7" customHeight="1" x14ac:dyDescent="0.25"/>
    <row r="2486" ht="19.7" customHeight="1" x14ac:dyDescent="0.25"/>
    <row r="2487" ht="19.7" customHeight="1" x14ac:dyDescent="0.25"/>
    <row r="2488" ht="19.7" customHeight="1" x14ac:dyDescent="0.25"/>
    <row r="2489" ht="19.7" customHeight="1" x14ac:dyDescent="0.25"/>
    <row r="2490" ht="19.7" customHeight="1" x14ac:dyDescent="0.25"/>
    <row r="2491" ht="19.7" customHeight="1" x14ac:dyDescent="0.25"/>
    <row r="2492" ht="19.7" customHeight="1" x14ac:dyDescent="0.25"/>
    <row r="2493" ht="19.7" customHeight="1" x14ac:dyDescent="0.25"/>
    <row r="2494" ht="19.7" customHeight="1" x14ac:dyDescent="0.25"/>
    <row r="2495" ht="19.7" customHeight="1" x14ac:dyDescent="0.25"/>
    <row r="2496" ht="19.7" customHeight="1" x14ac:dyDescent="0.25"/>
    <row r="2497" ht="19.7" customHeight="1" x14ac:dyDescent="0.25"/>
    <row r="2498" ht="19.7" customHeight="1" x14ac:dyDescent="0.25"/>
    <row r="2499" ht="19.7" customHeight="1" x14ac:dyDescent="0.25"/>
    <row r="2500" ht="19.7" customHeight="1" x14ac:dyDescent="0.25"/>
    <row r="2501" ht="19.7" customHeight="1" x14ac:dyDescent="0.25"/>
    <row r="2502" ht="19.7" customHeight="1" x14ac:dyDescent="0.25"/>
    <row r="2503" ht="19.7" customHeight="1" x14ac:dyDescent="0.25"/>
    <row r="2504" ht="19.7" customHeight="1" x14ac:dyDescent="0.25"/>
    <row r="2505" ht="19.7" customHeight="1" x14ac:dyDescent="0.25"/>
    <row r="2506" ht="19.7" customHeight="1" x14ac:dyDescent="0.25"/>
    <row r="2507" ht="19.7" customHeight="1" x14ac:dyDescent="0.25"/>
    <row r="2508" ht="19.7" customHeight="1" x14ac:dyDescent="0.25"/>
    <row r="2509" ht="19.7" customHeight="1" x14ac:dyDescent="0.25"/>
    <row r="2510" ht="19.7" customHeight="1" x14ac:dyDescent="0.25"/>
    <row r="2511" ht="19.7" customHeight="1" x14ac:dyDescent="0.25"/>
    <row r="2512" ht="19.7" customHeight="1" x14ac:dyDescent="0.25"/>
    <row r="2513" ht="19.7" customHeight="1" x14ac:dyDescent="0.25"/>
    <row r="2514" ht="19.7" customHeight="1" x14ac:dyDescent="0.25"/>
    <row r="2515" ht="19.7" customHeight="1" x14ac:dyDescent="0.25"/>
    <row r="2516" ht="19.7" customHeight="1" x14ac:dyDescent="0.25"/>
    <row r="2517" ht="19.7" customHeight="1" x14ac:dyDescent="0.25"/>
    <row r="2518" ht="19.7" customHeight="1" x14ac:dyDescent="0.25"/>
    <row r="2519" ht="19.7" customHeight="1" x14ac:dyDescent="0.25"/>
    <row r="2520" ht="19.7" customHeight="1" x14ac:dyDescent="0.25"/>
    <row r="2521" ht="19.7" customHeight="1" x14ac:dyDescent="0.25"/>
    <row r="2522" ht="19.7" customHeight="1" x14ac:dyDescent="0.25"/>
    <row r="2523" ht="19.7" customHeight="1" x14ac:dyDescent="0.25"/>
    <row r="2524" ht="19.7" customHeight="1" x14ac:dyDescent="0.25"/>
    <row r="2525" ht="19.7" customHeight="1" x14ac:dyDescent="0.25"/>
    <row r="2526" ht="19.7" customHeight="1" x14ac:dyDescent="0.25"/>
    <row r="2527" ht="19.7" customHeight="1" x14ac:dyDescent="0.25"/>
    <row r="2528" ht="19.7" customHeight="1" x14ac:dyDescent="0.25"/>
    <row r="2529" ht="19.7" customHeight="1" x14ac:dyDescent="0.25"/>
    <row r="2530" ht="19.7" customHeight="1" x14ac:dyDescent="0.25"/>
    <row r="2531" ht="19.7" customHeight="1" x14ac:dyDescent="0.25"/>
    <row r="2532" ht="19.7" customHeight="1" x14ac:dyDescent="0.25"/>
    <row r="2533" ht="19.7" customHeight="1" x14ac:dyDescent="0.25"/>
    <row r="2534" ht="19.7" customHeight="1" x14ac:dyDescent="0.25"/>
    <row r="2535" ht="19.7" customHeight="1" x14ac:dyDescent="0.25"/>
    <row r="2536" ht="19.7" customHeight="1" x14ac:dyDescent="0.25"/>
    <row r="2537" ht="19.7" customHeight="1" x14ac:dyDescent="0.25"/>
    <row r="2538" ht="19.7" customHeight="1" x14ac:dyDescent="0.25"/>
    <row r="2539" ht="19.7" customHeight="1" x14ac:dyDescent="0.25"/>
    <row r="2540" ht="19.7" customHeight="1" x14ac:dyDescent="0.25"/>
    <row r="2541" ht="19.7" customHeight="1" x14ac:dyDescent="0.25"/>
    <row r="2542" ht="19.7" customHeight="1" x14ac:dyDescent="0.25"/>
    <row r="2543" ht="19.7" customHeight="1" x14ac:dyDescent="0.25"/>
    <row r="2544" ht="19.7" customHeight="1" x14ac:dyDescent="0.25"/>
    <row r="2545" ht="19.7" customHeight="1" x14ac:dyDescent="0.25"/>
    <row r="2546" ht="19.7" customHeight="1" x14ac:dyDescent="0.25"/>
    <row r="2547" ht="19.7" customHeight="1" x14ac:dyDescent="0.25"/>
    <row r="2548" ht="19.7" customHeight="1" x14ac:dyDescent="0.25"/>
    <row r="2549" ht="19.7" customHeight="1" x14ac:dyDescent="0.25"/>
    <row r="2550" ht="19.7" customHeight="1" x14ac:dyDescent="0.25"/>
    <row r="2551" ht="19.7" customHeight="1" x14ac:dyDescent="0.25"/>
    <row r="2552" ht="19.7" customHeight="1" x14ac:dyDescent="0.25"/>
    <row r="2553" ht="19.7" customHeight="1" x14ac:dyDescent="0.25"/>
    <row r="2554" ht="19.7" customHeight="1" x14ac:dyDescent="0.25"/>
    <row r="2555" ht="19.7" customHeight="1" x14ac:dyDescent="0.25"/>
    <row r="2556" ht="19.7" customHeight="1" x14ac:dyDescent="0.25"/>
    <row r="2557" ht="19.7" customHeight="1" x14ac:dyDescent="0.25"/>
    <row r="2558" ht="19.7" customHeight="1" x14ac:dyDescent="0.25"/>
    <row r="2559" ht="19.7" customHeight="1" x14ac:dyDescent="0.25"/>
    <row r="2560" ht="19.7" customHeight="1" x14ac:dyDescent="0.25"/>
    <row r="2561" ht="19.7" customHeight="1" x14ac:dyDescent="0.25"/>
    <row r="2562" ht="19.7" customHeight="1" x14ac:dyDescent="0.25"/>
    <row r="2563" ht="19.7" customHeight="1" x14ac:dyDescent="0.25"/>
    <row r="2564" ht="19.7" customHeight="1" x14ac:dyDescent="0.25"/>
    <row r="2565" ht="19.7" customHeight="1" x14ac:dyDescent="0.25"/>
    <row r="2566" ht="19.7" customHeight="1" x14ac:dyDescent="0.25"/>
    <row r="2567" ht="19.7" customHeight="1" x14ac:dyDescent="0.25"/>
    <row r="2568" ht="19.7" customHeight="1" x14ac:dyDescent="0.25"/>
    <row r="2569" ht="19.7" customHeight="1" x14ac:dyDescent="0.25"/>
    <row r="2570" ht="19.7" customHeight="1" x14ac:dyDescent="0.25"/>
    <row r="2571" ht="19.7" customHeight="1" x14ac:dyDescent="0.25"/>
    <row r="2572" ht="19.7" customHeight="1" x14ac:dyDescent="0.25"/>
    <row r="2573" ht="19.7" customHeight="1" x14ac:dyDescent="0.25"/>
    <row r="2574" ht="19.7" customHeight="1" x14ac:dyDescent="0.25"/>
    <row r="2575" ht="19.7" customHeight="1" x14ac:dyDescent="0.25"/>
    <row r="2576" ht="19.7" customHeight="1" x14ac:dyDescent="0.25"/>
    <row r="2577" ht="19.7" customHeight="1" x14ac:dyDescent="0.25"/>
    <row r="2578" ht="19.7" customHeight="1" x14ac:dyDescent="0.25"/>
    <row r="2579" ht="19.7" customHeight="1" x14ac:dyDescent="0.25"/>
    <row r="2580" ht="19.7" customHeight="1" x14ac:dyDescent="0.25"/>
    <row r="2581" ht="19.7" customHeight="1" x14ac:dyDescent="0.25"/>
    <row r="2582" ht="19.7" customHeight="1" x14ac:dyDescent="0.25"/>
    <row r="2583" ht="19.7" customHeight="1" x14ac:dyDescent="0.25"/>
    <row r="2584" ht="19.7" customHeight="1" x14ac:dyDescent="0.25"/>
    <row r="2585" ht="19.7" customHeight="1" x14ac:dyDescent="0.25"/>
    <row r="2586" ht="19.7" customHeight="1" x14ac:dyDescent="0.25"/>
    <row r="2587" ht="19.7" customHeight="1" x14ac:dyDescent="0.25"/>
    <row r="2588" ht="19.7" customHeight="1" x14ac:dyDescent="0.25"/>
    <row r="2589" ht="19.7" customHeight="1" x14ac:dyDescent="0.25"/>
    <row r="2590" ht="19.7" customHeight="1" x14ac:dyDescent="0.25"/>
    <row r="2591" ht="19.7" customHeight="1" x14ac:dyDescent="0.25"/>
    <row r="2592" ht="19.7" customHeight="1" x14ac:dyDescent="0.25"/>
    <row r="2593" ht="19.7" customHeight="1" x14ac:dyDescent="0.25"/>
    <row r="2594" ht="19.7" customHeight="1" x14ac:dyDescent="0.25"/>
    <row r="2595" ht="19.7" customHeight="1" x14ac:dyDescent="0.25"/>
    <row r="2596" ht="19.7" customHeight="1" x14ac:dyDescent="0.25"/>
    <row r="2597" ht="19.7" customHeight="1" x14ac:dyDescent="0.25"/>
    <row r="2598" ht="19.7" customHeight="1" x14ac:dyDescent="0.25"/>
    <row r="2599" ht="19.7" customHeight="1" x14ac:dyDescent="0.25"/>
    <row r="2600" ht="19.7" customHeight="1" x14ac:dyDescent="0.25"/>
    <row r="2601" ht="19.7" customHeight="1" x14ac:dyDescent="0.25"/>
    <row r="2602" ht="19.7" customHeight="1" x14ac:dyDescent="0.25"/>
    <row r="2603" ht="19.7" customHeight="1" x14ac:dyDescent="0.25"/>
    <row r="2604" ht="19.7" customHeight="1" x14ac:dyDescent="0.25"/>
    <row r="2605" ht="19.7" customHeight="1" x14ac:dyDescent="0.25"/>
    <row r="2606" ht="19.7" customHeight="1" x14ac:dyDescent="0.25"/>
    <row r="2607" ht="19.7" customHeight="1" x14ac:dyDescent="0.25"/>
    <row r="2608" ht="19.7" customHeight="1" x14ac:dyDescent="0.25"/>
    <row r="2609" ht="19.7" customHeight="1" x14ac:dyDescent="0.25"/>
    <row r="2610" ht="19.7" customHeight="1" x14ac:dyDescent="0.25"/>
    <row r="2611" ht="19.7" customHeight="1" x14ac:dyDescent="0.25"/>
    <row r="2612" ht="19.7" customHeight="1" x14ac:dyDescent="0.25"/>
    <row r="2613" ht="19.7" customHeight="1" x14ac:dyDescent="0.25"/>
    <row r="2614" ht="19.7" customHeight="1" x14ac:dyDescent="0.25"/>
    <row r="2615" ht="19.7" customHeight="1" x14ac:dyDescent="0.25"/>
    <row r="2616" ht="19.7" customHeight="1" x14ac:dyDescent="0.25"/>
    <row r="2617" ht="19.7" customHeight="1" x14ac:dyDescent="0.25"/>
    <row r="2618" ht="19.7" customHeight="1" x14ac:dyDescent="0.25"/>
    <row r="2619" ht="19.7" customHeight="1" x14ac:dyDescent="0.25"/>
    <row r="2620" ht="19.7" customHeight="1" x14ac:dyDescent="0.25"/>
    <row r="2621" ht="19.7" customHeight="1" x14ac:dyDescent="0.25"/>
    <row r="2622" ht="19.7" customHeight="1" x14ac:dyDescent="0.25"/>
    <row r="2623" ht="19.7" customHeight="1" x14ac:dyDescent="0.25"/>
    <row r="2624" ht="19.7" customHeight="1" x14ac:dyDescent="0.25"/>
    <row r="2625" ht="19.7" customHeight="1" x14ac:dyDescent="0.25"/>
    <row r="2626" ht="19.7" customHeight="1" x14ac:dyDescent="0.25"/>
    <row r="2627" ht="19.7" customHeight="1" x14ac:dyDescent="0.25"/>
    <row r="2628" ht="19.7" customHeight="1" x14ac:dyDescent="0.25"/>
    <row r="2629" ht="19.7" customHeight="1" x14ac:dyDescent="0.25"/>
    <row r="2630" ht="19.7" customHeight="1" x14ac:dyDescent="0.25"/>
    <row r="2631" ht="19.7" customHeight="1" x14ac:dyDescent="0.25"/>
    <row r="2632" ht="19.7" customHeight="1" x14ac:dyDescent="0.25"/>
    <row r="2633" ht="19.7" customHeight="1" x14ac:dyDescent="0.25"/>
    <row r="2634" ht="19.7" customHeight="1" x14ac:dyDescent="0.25"/>
    <row r="2635" ht="19.7" customHeight="1" x14ac:dyDescent="0.25"/>
    <row r="2636" ht="19.7" customHeight="1" x14ac:dyDescent="0.25"/>
    <row r="2637" ht="19.7" customHeight="1" x14ac:dyDescent="0.25"/>
    <row r="2638" ht="19.7" customHeight="1" x14ac:dyDescent="0.25"/>
    <row r="2639" ht="19.7" customHeight="1" x14ac:dyDescent="0.25"/>
    <row r="2640" ht="19.7" customHeight="1" x14ac:dyDescent="0.25"/>
    <row r="2641" ht="19.7" customHeight="1" x14ac:dyDescent="0.25"/>
    <row r="2642" ht="19.7" customHeight="1" x14ac:dyDescent="0.25"/>
    <row r="2643" ht="19.7" customHeight="1" x14ac:dyDescent="0.25"/>
    <row r="2644" ht="19.7" customHeight="1" x14ac:dyDescent="0.25"/>
    <row r="2645" ht="19.7" customHeight="1" x14ac:dyDescent="0.25"/>
    <row r="2646" ht="19.7" customHeight="1" x14ac:dyDescent="0.25"/>
    <row r="2647" ht="19.7" customHeight="1" x14ac:dyDescent="0.25"/>
    <row r="2648" ht="19.7" customHeight="1" x14ac:dyDescent="0.25"/>
    <row r="2649" ht="19.7" customHeight="1" x14ac:dyDescent="0.25"/>
    <row r="2650" ht="19.7" customHeight="1" x14ac:dyDescent="0.25"/>
    <row r="2651" ht="19.7" customHeight="1" x14ac:dyDescent="0.25"/>
    <row r="2652" ht="19.7" customHeight="1" x14ac:dyDescent="0.25"/>
    <row r="2653" ht="19.7" customHeight="1" x14ac:dyDescent="0.25"/>
    <row r="2654" ht="19.7" customHeight="1" x14ac:dyDescent="0.25"/>
    <row r="2655" ht="19.7" customHeight="1" x14ac:dyDescent="0.25"/>
    <row r="2656" ht="19.7" customHeight="1" x14ac:dyDescent="0.25"/>
    <row r="2657" ht="19.7" customHeight="1" x14ac:dyDescent="0.25"/>
    <row r="2658" ht="19.7" customHeight="1" x14ac:dyDescent="0.25"/>
    <row r="2659" ht="19.7" customHeight="1" x14ac:dyDescent="0.25"/>
    <row r="2660" ht="19.7" customHeight="1" x14ac:dyDescent="0.25"/>
    <row r="2661" ht="19.7" customHeight="1" x14ac:dyDescent="0.25"/>
    <row r="2662" ht="19.7" customHeight="1" x14ac:dyDescent="0.25"/>
    <row r="2663" ht="19.7" customHeight="1" x14ac:dyDescent="0.25"/>
    <row r="2664" ht="19.7" customHeight="1" x14ac:dyDescent="0.25"/>
    <row r="2665" ht="19.7" customHeight="1" x14ac:dyDescent="0.25"/>
    <row r="2666" ht="19.7" customHeight="1" x14ac:dyDescent="0.25"/>
    <row r="2667" ht="19.7" customHeight="1" x14ac:dyDescent="0.25"/>
    <row r="2668" ht="19.7" customHeight="1" x14ac:dyDescent="0.25"/>
    <row r="2669" ht="19.7" customHeight="1" x14ac:dyDescent="0.25"/>
    <row r="2670" ht="19.7" customHeight="1" x14ac:dyDescent="0.25"/>
    <row r="2671" ht="19.7" customHeight="1" x14ac:dyDescent="0.25"/>
    <row r="2672" ht="19.7" customHeight="1" x14ac:dyDescent="0.25"/>
    <row r="2673" ht="19.7" customHeight="1" x14ac:dyDescent="0.25"/>
    <row r="2674" ht="19.7" customHeight="1" x14ac:dyDescent="0.25"/>
    <row r="2675" ht="19.7" customHeight="1" x14ac:dyDescent="0.25"/>
    <row r="2676" ht="19.7" customHeight="1" x14ac:dyDescent="0.25"/>
    <row r="2677" ht="19.7" customHeight="1" x14ac:dyDescent="0.25"/>
    <row r="2678" ht="19.7" customHeight="1" x14ac:dyDescent="0.25"/>
    <row r="2679" ht="19.7" customHeight="1" x14ac:dyDescent="0.25"/>
    <row r="2680" ht="19.7" customHeight="1" x14ac:dyDescent="0.25"/>
    <row r="2681" ht="19.7" customHeight="1" x14ac:dyDescent="0.25"/>
    <row r="2682" ht="19.7" customHeight="1" x14ac:dyDescent="0.25"/>
    <row r="2683" ht="19.7" customHeight="1" x14ac:dyDescent="0.25"/>
    <row r="2684" ht="19.7" customHeight="1" x14ac:dyDescent="0.25"/>
    <row r="2685" ht="19.7" customHeight="1" x14ac:dyDescent="0.25"/>
    <row r="2686" ht="19.7" customHeight="1" x14ac:dyDescent="0.25"/>
    <row r="2687" ht="19.7" customHeight="1" x14ac:dyDescent="0.25"/>
    <row r="2688" ht="19.7" customHeight="1" x14ac:dyDescent="0.25"/>
    <row r="2689" ht="19.7" customHeight="1" x14ac:dyDescent="0.25"/>
    <row r="2690" ht="19.7" customHeight="1" x14ac:dyDescent="0.25"/>
    <row r="2691" ht="19.7" customHeight="1" x14ac:dyDescent="0.25"/>
    <row r="2692" ht="19.7" customHeight="1" x14ac:dyDescent="0.25"/>
    <row r="2693" ht="19.7" customHeight="1" x14ac:dyDescent="0.25"/>
    <row r="2694" ht="19.7" customHeight="1" x14ac:dyDescent="0.25"/>
    <row r="2695" ht="19.7" customHeight="1" x14ac:dyDescent="0.25"/>
    <row r="2696" ht="19.7" customHeight="1" x14ac:dyDescent="0.25"/>
    <row r="2697" ht="19.7" customHeight="1" x14ac:dyDescent="0.25"/>
    <row r="2698" ht="19.7" customHeight="1" x14ac:dyDescent="0.25"/>
    <row r="2699" ht="19.7" customHeight="1" x14ac:dyDescent="0.25"/>
    <row r="2700" ht="19.7" customHeight="1" x14ac:dyDescent="0.25"/>
    <row r="2701" ht="19.7" customHeight="1" x14ac:dyDescent="0.25"/>
    <row r="2702" ht="19.7" customHeight="1" x14ac:dyDescent="0.25"/>
    <row r="2703" ht="19.7" customHeight="1" x14ac:dyDescent="0.25"/>
    <row r="2704" ht="19.7" customHeight="1" x14ac:dyDescent="0.25"/>
    <row r="2705" ht="19.7" customHeight="1" x14ac:dyDescent="0.25"/>
    <row r="2706" ht="19.7" customHeight="1" x14ac:dyDescent="0.25"/>
    <row r="2707" ht="19.7" customHeight="1" x14ac:dyDescent="0.25"/>
    <row r="2708" ht="19.7" customHeight="1" x14ac:dyDescent="0.25"/>
    <row r="2709" ht="19.7" customHeight="1" x14ac:dyDescent="0.25"/>
    <row r="2710" ht="19.7" customHeight="1" x14ac:dyDescent="0.25"/>
    <row r="2711" ht="19.7" customHeight="1" x14ac:dyDescent="0.25"/>
    <row r="2712" ht="19.7" customHeight="1" x14ac:dyDescent="0.25"/>
    <row r="2713" ht="19.7" customHeight="1" x14ac:dyDescent="0.25"/>
    <row r="2714" ht="19.7" customHeight="1" x14ac:dyDescent="0.25"/>
    <row r="2715" ht="19.7" customHeight="1" x14ac:dyDescent="0.25"/>
    <row r="2716" ht="19.7" customHeight="1" x14ac:dyDescent="0.25"/>
    <row r="2717" ht="19.7" customHeight="1" x14ac:dyDescent="0.25"/>
    <row r="2718" ht="19.7" customHeight="1" x14ac:dyDescent="0.25"/>
    <row r="2719" ht="19.7" customHeight="1" x14ac:dyDescent="0.25"/>
    <row r="2720" ht="19.7" customHeight="1" x14ac:dyDescent="0.25"/>
    <row r="2721" ht="19.7" customHeight="1" x14ac:dyDescent="0.25"/>
    <row r="2722" ht="19.7" customHeight="1" x14ac:dyDescent="0.25"/>
    <row r="2723" ht="19.7" customHeight="1" x14ac:dyDescent="0.25"/>
    <row r="2724" ht="19.7" customHeight="1" x14ac:dyDescent="0.25"/>
    <row r="2725" ht="19.7" customHeight="1" x14ac:dyDescent="0.25"/>
    <row r="2726" ht="19.7" customHeight="1" x14ac:dyDescent="0.25"/>
    <row r="2727" ht="19.7" customHeight="1" x14ac:dyDescent="0.25"/>
    <row r="2728" ht="19.7" customHeight="1" x14ac:dyDescent="0.25"/>
    <row r="2729" ht="19.7" customHeight="1" x14ac:dyDescent="0.25"/>
    <row r="2730" ht="19.7" customHeight="1" x14ac:dyDescent="0.25"/>
    <row r="2731" ht="19.7" customHeight="1" x14ac:dyDescent="0.25"/>
    <row r="2732" ht="19.7" customHeight="1" x14ac:dyDescent="0.25"/>
    <row r="2733" ht="19.7" customHeight="1" x14ac:dyDescent="0.25"/>
    <row r="2734" ht="19.7" customHeight="1" x14ac:dyDescent="0.25"/>
    <row r="2735" ht="19.7" customHeight="1" x14ac:dyDescent="0.25"/>
    <row r="2736" ht="19.7" customHeight="1" x14ac:dyDescent="0.25"/>
    <row r="2737" ht="19.7" customHeight="1" x14ac:dyDescent="0.25"/>
    <row r="2738" ht="19.7" customHeight="1" x14ac:dyDescent="0.25"/>
    <row r="2739" ht="19.7" customHeight="1" x14ac:dyDescent="0.25"/>
    <row r="2740" ht="19.7" customHeight="1" x14ac:dyDescent="0.25"/>
    <row r="2741" ht="19.7" customHeight="1" x14ac:dyDescent="0.25"/>
    <row r="2742" ht="19.7" customHeight="1" x14ac:dyDescent="0.25"/>
    <row r="2743" ht="19.7" customHeight="1" x14ac:dyDescent="0.25"/>
    <row r="2744" ht="19.7" customHeight="1" x14ac:dyDescent="0.25"/>
    <row r="2745" ht="19.7" customHeight="1" x14ac:dyDescent="0.25"/>
    <row r="2746" ht="19.7" customHeight="1" x14ac:dyDescent="0.25"/>
    <row r="2747" ht="19.7" customHeight="1" x14ac:dyDescent="0.25"/>
    <row r="2748" ht="19.7" customHeight="1" x14ac:dyDescent="0.25"/>
    <row r="2749" ht="19.7" customHeight="1" x14ac:dyDescent="0.25"/>
    <row r="2750" ht="19.7" customHeight="1" x14ac:dyDescent="0.25"/>
    <row r="2751" ht="19.7" customHeight="1" x14ac:dyDescent="0.25"/>
    <row r="2752" ht="19.7" customHeight="1" x14ac:dyDescent="0.25"/>
    <row r="2753" ht="19.7" customHeight="1" x14ac:dyDescent="0.25"/>
    <row r="2754" ht="19.7" customHeight="1" x14ac:dyDescent="0.25"/>
    <row r="2755" ht="19.7" customHeight="1" x14ac:dyDescent="0.25"/>
    <row r="2756" ht="19.7" customHeight="1" x14ac:dyDescent="0.25"/>
    <row r="2757" ht="19.7" customHeight="1" x14ac:dyDescent="0.25"/>
    <row r="2758" ht="19.7" customHeight="1" x14ac:dyDescent="0.25"/>
    <row r="2759" ht="19.7" customHeight="1" x14ac:dyDescent="0.25"/>
    <row r="2760" ht="19.7" customHeight="1" x14ac:dyDescent="0.25"/>
    <row r="2761" ht="19.7" customHeight="1" x14ac:dyDescent="0.25"/>
    <row r="2762" ht="19.7" customHeight="1" x14ac:dyDescent="0.25"/>
    <row r="2763" ht="19.7" customHeight="1" x14ac:dyDescent="0.25"/>
    <row r="2764" ht="19.7" customHeight="1" x14ac:dyDescent="0.25"/>
    <row r="2765" ht="19.7" customHeight="1" x14ac:dyDescent="0.25"/>
    <row r="2766" ht="19.7" customHeight="1" x14ac:dyDescent="0.25"/>
    <row r="2767" ht="19.7" customHeight="1" x14ac:dyDescent="0.25"/>
    <row r="2768" ht="19.7" customHeight="1" x14ac:dyDescent="0.25"/>
    <row r="2769" ht="19.7" customHeight="1" x14ac:dyDescent="0.25"/>
    <row r="2770" ht="19.7" customHeight="1" x14ac:dyDescent="0.25"/>
    <row r="2771" ht="19.7" customHeight="1" x14ac:dyDescent="0.25"/>
    <row r="2772" ht="19.7" customHeight="1" x14ac:dyDescent="0.25"/>
    <row r="2773" ht="19.7" customHeight="1" x14ac:dyDescent="0.25"/>
    <row r="2774" ht="19.7" customHeight="1" x14ac:dyDescent="0.25"/>
    <row r="2775" ht="19.7" customHeight="1" x14ac:dyDescent="0.25"/>
    <row r="2776" ht="19.7" customHeight="1" x14ac:dyDescent="0.25"/>
    <row r="2777" ht="19.7" customHeight="1" x14ac:dyDescent="0.25"/>
    <row r="2778" ht="19.7" customHeight="1" x14ac:dyDescent="0.25"/>
    <row r="2779" ht="19.7" customHeight="1" x14ac:dyDescent="0.25"/>
    <row r="2780" ht="19.7" customHeight="1" x14ac:dyDescent="0.25"/>
    <row r="2781" ht="19.7" customHeight="1" x14ac:dyDescent="0.25"/>
    <row r="2782" ht="19.7" customHeight="1" x14ac:dyDescent="0.25"/>
    <row r="2783" ht="19.7" customHeight="1" x14ac:dyDescent="0.25"/>
    <row r="2784" ht="19.7" customHeight="1" x14ac:dyDescent="0.25"/>
    <row r="2785" ht="19.7" customHeight="1" x14ac:dyDescent="0.25"/>
    <row r="2786" ht="19.7" customHeight="1" x14ac:dyDescent="0.25"/>
    <row r="2787" ht="19.7" customHeight="1" x14ac:dyDescent="0.25"/>
    <row r="2788" ht="19.7" customHeight="1" x14ac:dyDescent="0.25"/>
    <row r="2789" ht="19.7" customHeight="1" x14ac:dyDescent="0.25"/>
    <row r="2790" ht="19.7" customHeight="1" x14ac:dyDescent="0.25"/>
    <row r="2791" ht="19.7" customHeight="1" x14ac:dyDescent="0.25"/>
    <row r="2792" ht="19.7" customHeight="1" x14ac:dyDescent="0.25"/>
    <row r="2793" ht="19.7" customHeight="1" x14ac:dyDescent="0.25"/>
    <row r="2794" ht="19.7" customHeight="1" x14ac:dyDescent="0.25"/>
    <row r="2795" ht="19.7" customHeight="1" x14ac:dyDescent="0.25"/>
    <row r="2796" ht="19.7" customHeight="1" x14ac:dyDescent="0.25"/>
    <row r="2797" ht="19.7" customHeight="1" x14ac:dyDescent="0.25"/>
    <row r="2798" ht="19.7" customHeight="1" x14ac:dyDescent="0.25"/>
    <row r="2799" ht="19.7" customHeight="1" x14ac:dyDescent="0.25"/>
    <row r="2800" ht="19.7" customHeight="1" x14ac:dyDescent="0.25"/>
    <row r="2801" ht="19.7" customHeight="1" x14ac:dyDescent="0.25"/>
    <row r="2802" ht="19.7" customHeight="1" x14ac:dyDescent="0.25"/>
    <row r="2803" ht="19.7" customHeight="1" x14ac:dyDescent="0.25"/>
    <row r="2804" ht="19.7" customHeight="1" x14ac:dyDescent="0.25"/>
    <row r="2805" ht="19.7" customHeight="1" x14ac:dyDescent="0.25"/>
    <row r="2806" ht="19.7" customHeight="1" x14ac:dyDescent="0.25"/>
    <row r="2807" ht="19.7" customHeight="1" x14ac:dyDescent="0.25"/>
    <row r="2808" ht="19.7" customHeight="1" x14ac:dyDescent="0.25"/>
    <row r="2809" ht="19.7" customHeight="1" x14ac:dyDescent="0.25"/>
    <row r="2810" ht="19.7" customHeight="1" x14ac:dyDescent="0.25"/>
    <row r="2811" ht="19.7" customHeight="1" x14ac:dyDescent="0.25"/>
    <row r="2812" ht="19.7" customHeight="1" x14ac:dyDescent="0.25"/>
    <row r="2813" ht="19.7" customHeight="1" x14ac:dyDescent="0.25"/>
    <row r="2814" ht="19.7" customHeight="1" x14ac:dyDescent="0.25"/>
    <row r="2815" ht="19.7" customHeight="1" x14ac:dyDescent="0.25"/>
    <row r="2816" ht="19.7" customHeight="1" x14ac:dyDescent="0.25"/>
    <row r="2817" ht="19.7" customHeight="1" x14ac:dyDescent="0.25"/>
    <row r="2818" ht="19.7" customHeight="1" x14ac:dyDescent="0.25"/>
    <row r="2819" ht="19.7" customHeight="1" x14ac:dyDescent="0.25"/>
    <row r="2820" ht="19.7" customHeight="1" x14ac:dyDescent="0.25"/>
    <row r="2821" ht="19.7" customHeight="1" x14ac:dyDescent="0.25"/>
    <row r="2822" ht="19.7" customHeight="1" x14ac:dyDescent="0.25"/>
    <row r="2823" ht="19.7" customHeight="1" x14ac:dyDescent="0.25"/>
    <row r="2824" ht="19.7" customHeight="1" x14ac:dyDescent="0.25"/>
    <row r="2825" ht="19.7" customHeight="1" x14ac:dyDescent="0.25"/>
    <row r="2826" ht="19.7" customHeight="1" x14ac:dyDescent="0.25"/>
    <row r="2827" ht="19.7" customHeight="1" x14ac:dyDescent="0.25"/>
    <row r="2828" ht="19.7" customHeight="1" x14ac:dyDescent="0.25"/>
    <row r="2829" ht="19.7" customHeight="1" x14ac:dyDescent="0.25"/>
    <row r="2830" ht="19.7" customHeight="1" x14ac:dyDescent="0.25"/>
    <row r="2831" ht="19.7" customHeight="1" x14ac:dyDescent="0.25"/>
    <row r="2832" ht="19.7" customHeight="1" x14ac:dyDescent="0.25"/>
    <row r="2833" ht="19.7" customHeight="1" x14ac:dyDescent="0.25"/>
    <row r="2834" ht="19.7" customHeight="1" x14ac:dyDescent="0.25"/>
    <row r="2835" ht="19.7" customHeight="1" x14ac:dyDescent="0.25"/>
    <row r="2836" ht="19.7" customHeight="1" x14ac:dyDescent="0.25"/>
    <row r="2837" ht="19.7" customHeight="1" x14ac:dyDescent="0.25"/>
    <row r="2838" ht="19.7" customHeight="1" x14ac:dyDescent="0.25"/>
    <row r="2839" ht="19.7" customHeight="1" x14ac:dyDescent="0.25"/>
    <row r="2840" ht="19.7" customHeight="1" x14ac:dyDescent="0.25"/>
    <row r="2841" ht="19.7" customHeight="1" x14ac:dyDescent="0.25"/>
    <row r="2842" ht="19.7" customHeight="1" x14ac:dyDescent="0.25"/>
    <row r="2843" ht="19.7" customHeight="1" x14ac:dyDescent="0.25"/>
    <row r="2844" ht="19.7" customHeight="1" x14ac:dyDescent="0.25"/>
    <row r="2845" ht="19.7" customHeight="1" x14ac:dyDescent="0.25"/>
    <row r="2846" ht="19.7" customHeight="1" x14ac:dyDescent="0.25"/>
    <row r="2847" ht="19.7" customHeight="1" x14ac:dyDescent="0.25"/>
    <row r="2848" ht="19.7" customHeight="1" x14ac:dyDescent="0.25"/>
    <row r="2849" ht="19.7" customHeight="1" x14ac:dyDescent="0.25"/>
    <row r="2850" ht="19.7" customHeight="1" x14ac:dyDescent="0.25"/>
    <row r="2851" ht="19.7" customHeight="1" x14ac:dyDescent="0.25"/>
    <row r="2852" ht="19.7" customHeight="1" x14ac:dyDescent="0.25"/>
    <row r="2853" ht="19.7" customHeight="1" x14ac:dyDescent="0.25"/>
    <row r="2854" ht="19.7" customHeight="1" x14ac:dyDescent="0.25"/>
    <row r="2855" ht="19.7" customHeight="1" x14ac:dyDescent="0.25"/>
    <row r="2856" ht="19.7" customHeight="1" x14ac:dyDescent="0.25"/>
    <row r="2857" ht="19.7" customHeight="1" x14ac:dyDescent="0.25"/>
    <row r="2858" ht="19.7" customHeight="1" x14ac:dyDescent="0.25"/>
    <row r="2859" ht="19.7" customHeight="1" x14ac:dyDescent="0.25"/>
    <row r="2860" ht="19.7" customHeight="1" x14ac:dyDescent="0.25"/>
    <row r="2861" ht="19.7" customHeight="1" x14ac:dyDescent="0.25"/>
    <row r="2862" ht="19.7" customHeight="1" x14ac:dyDescent="0.25"/>
    <row r="2863" ht="19.7" customHeight="1" x14ac:dyDescent="0.25"/>
    <row r="2864" ht="19.7" customHeight="1" x14ac:dyDescent="0.25"/>
    <row r="2865" ht="19.7" customHeight="1" x14ac:dyDescent="0.25"/>
    <row r="2866" ht="19.7" customHeight="1" x14ac:dyDescent="0.25"/>
    <row r="2867" ht="19.7" customHeight="1" x14ac:dyDescent="0.25"/>
    <row r="2868" ht="19.7" customHeight="1" x14ac:dyDescent="0.25"/>
    <row r="2869" ht="19.7" customHeight="1" x14ac:dyDescent="0.25"/>
    <row r="2870" ht="19.7" customHeight="1" x14ac:dyDescent="0.25"/>
    <row r="2871" ht="19.7" customHeight="1" x14ac:dyDescent="0.25"/>
    <row r="2872" ht="19.7" customHeight="1" x14ac:dyDescent="0.25"/>
    <row r="2873" ht="19.7" customHeight="1" x14ac:dyDescent="0.25"/>
    <row r="2874" ht="19.7" customHeight="1" x14ac:dyDescent="0.25"/>
    <row r="2875" ht="19.7" customHeight="1" x14ac:dyDescent="0.25"/>
    <row r="2876" ht="19.7" customHeight="1" x14ac:dyDescent="0.25"/>
    <row r="2877" ht="19.7" customHeight="1" x14ac:dyDescent="0.25"/>
    <row r="2878" ht="19.7" customHeight="1" x14ac:dyDescent="0.25"/>
    <row r="2879" ht="19.7" customHeight="1" x14ac:dyDescent="0.25"/>
    <row r="2880" ht="19.7" customHeight="1" x14ac:dyDescent="0.25"/>
    <row r="2881" ht="19.7" customHeight="1" x14ac:dyDescent="0.25"/>
    <row r="2882" ht="19.7" customHeight="1" x14ac:dyDescent="0.25"/>
    <row r="2883" ht="19.7" customHeight="1" x14ac:dyDescent="0.25"/>
    <row r="2884" ht="19.7" customHeight="1" x14ac:dyDescent="0.25"/>
    <row r="2885" ht="19.7" customHeight="1" x14ac:dyDescent="0.25"/>
    <row r="2886" ht="19.7" customHeight="1" x14ac:dyDescent="0.25"/>
    <row r="2887" ht="19.7" customHeight="1" x14ac:dyDescent="0.25"/>
    <row r="2888" ht="19.7" customHeight="1" x14ac:dyDescent="0.25"/>
    <row r="2889" ht="19.7" customHeight="1" x14ac:dyDescent="0.25"/>
    <row r="2890" ht="19.7" customHeight="1" x14ac:dyDescent="0.25"/>
    <row r="2891" ht="19.7" customHeight="1" x14ac:dyDescent="0.25"/>
    <row r="2892" ht="19.7" customHeight="1" x14ac:dyDescent="0.25"/>
    <row r="2893" ht="19.7" customHeight="1" x14ac:dyDescent="0.25"/>
    <row r="2894" ht="19.7" customHeight="1" x14ac:dyDescent="0.25"/>
    <row r="2895" ht="19.7" customHeight="1" x14ac:dyDescent="0.25"/>
    <row r="2896" ht="19.7" customHeight="1" x14ac:dyDescent="0.25"/>
    <row r="2897" ht="19.7" customHeight="1" x14ac:dyDescent="0.25"/>
    <row r="2898" ht="19.7" customHeight="1" x14ac:dyDescent="0.25"/>
    <row r="2899" ht="19.7" customHeight="1" x14ac:dyDescent="0.25"/>
    <row r="2900" ht="19.7" customHeight="1" x14ac:dyDescent="0.25"/>
    <row r="2901" ht="19.7" customHeight="1" x14ac:dyDescent="0.25"/>
    <row r="2902" ht="19.7" customHeight="1" x14ac:dyDescent="0.25"/>
    <row r="2903" ht="19.7" customHeight="1" x14ac:dyDescent="0.25"/>
    <row r="2904" ht="19.7" customHeight="1" x14ac:dyDescent="0.25"/>
    <row r="2905" ht="19.7" customHeight="1" x14ac:dyDescent="0.25"/>
    <row r="2906" ht="19.7" customHeight="1" x14ac:dyDescent="0.25"/>
    <row r="2907" ht="19.7" customHeight="1" x14ac:dyDescent="0.25"/>
    <row r="2908" ht="19.7" customHeight="1" x14ac:dyDescent="0.25"/>
    <row r="2909" ht="19.7" customHeight="1" x14ac:dyDescent="0.25"/>
    <row r="2910" ht="19.7" customHeight="1" x14ac:dyDescent="0.25"/>
    <row r="2911" ht="19.7" customHeight="1" x14ac:dyDescent="0.25"/>
    <row r="2912" ht="19.7" customHeight="1" x14ac:dyDescent="0.25"/>
    <row r="2913" ht="19.7" customHeight="1" x14ac:dyDescent="0.25"/>
    <row r="2914" ht="19.7" customHeight="1" x14ac:dyDescent="0.25"/>
    <row r="2915" ht="19.7" customHeight="1" x14ac:dyDescent="0.25"/>
    <row r="2916" ht="19.7" customHeight="1" x14ac:dyDescent="0.25"/>
    <row r="2917" ht="19.7" customHeight="1" x14ac:dyDescent="0.25"/>
    <row r="2918" ht="19.7" customHeight="1" x14ac:dyDescent="0.25"/>
    <row r="2919" ht="19.7" customHeight="1" x14ac:dyDescent="0.25"/>
    <row r="2920" ht="19.7" customHeight="1" x14ac:dyDescent="0.25"/>
    <row r="2921" ht="19.7" customHeight="1" x14ac:dyDescent="0.25"/>
    <row r="2922" ht="19.7" customHeight="1" x14ac:dyDescent="0.25"/>
    <row r="2923" ht="19.7" customHeight="1" x14ac:dyDescent="0.25"/>
    <row r="2924" ht="19.7" customHeight="1" x14ac:dyDescent="0.25"/>
    <row r="2925" ht="19.7" customHeight="1" x14ac:dyDescent="0.25"/>
    <row r="2926" ht="19.7" customHeight="1" x14ac:dyDescent="0.25"/>
    <row r="2927" ht="19.7" customHeight="1" x14ac:dyDescent="0.25"/>
    <row r="2928" ht="19.7" customHeight="1" x14ac:dyDescent="0.25"/>
    <row r="2929" ht="19.7" customHeight="1" x14ac:dyDescent="0.25"/>
    <row r="2930" ht="19.7" customHeight="1" x14ac:dyDescent="0.25"/>
    <row r="2931" ht="19.7" customHeight="1" x14ac:dyDescent="0.25"/>
    <row r="2932" ht="19.7" customHeight="1" x14ac:dyDescent="0.25"/>
    <row r="2933" ht="19.7" customHeight="1" x14ac:dyDescent="0.25"/>
    <row r="2934" ht="19.7" customHeight="1" x14ac:dyDescent="0.25"/>
    <row r="2935" ht="19.7" customHeight="1" x14ac:dyDescent="0.25"/>
    <row r="2936" ht="19.7" customHeight="1" x14ac:dyDescent="0.25"/>
    <row r="2937" ht="19.7" customHeight="1" x14ac:dyDescent="0.25"/>
    <row r="2938" ht="19.7" customHeight="1" x14ac:dyDescent="0.25"/>
    <row r="2939" ht="19.7" customHeight="1" x14ac:dyDescent="0.25"/>
    <row r="2940" ht="19.7" customHeight="1" x14ac:dyDescent="0.25"/>
    <row r="2941" ht="19.7" customHeight="1" x14ac:dyDescent="0.25"/>
    <row r="2942" ht="19.7" customHeight="1" x14ac:dyDescent="0.25"/>
    <row r="2943" ht="19.7" customHeight="1" x14ac:dyDescent="0.25"/>
    <row r="2944" ht="19.7" customHeight="1" x14ac:dyDescent="0.25"/>
    <row r="2945" ht="19.7" customHeight="1" x14ac:dyDescent="0.25"/>
    <row r="2946" ht="19.7" customHeight="1" x14ac:dyDescent="0.25"/>
    <row r="2947" ht="19.7" customHeight="1" x14ac:dyDescent="0.25"/>
    <row r="2948" ht="19.7" customHeight="1" x14ac:dyDescent="0.25"/>
    <row r="2949" ht="19.7" customHeight="1" x14ac:dyDescent="0.25"/>
    <row r="2950" ht="19.7" customHeight="1" x14ac:dyDescent="0.25"/>
    <row r="2951" ht="19.7" customHeight="1" x14ac:dyDescent="0.25"/>
    <row r="2952" ht="19.7" customHeight="1" x14ac:dyDescent="0.25"/>
    <row r="2953" ht="19.7" customHeight="1" x14ac:dyDescent="0.25"/>
    <row r="2954" ht="19.7" customHeight="1" x14ac:dyDescent="0.25"/>
    <row r="2955" ht="19.7" customHeight="1" x14ac:dyDescent="0.25"/>
    <row r="2956" ht="19.7" customHeight="1" x14ac:dyDescent="0.25"/>
    <row r="2957" ht="19.7" customHeight="1" x14ac:dyDescent="0.25"/>
    <row r="2958" ht="19.7" customHeight="1" x14ac:dyDescent="0.25"/>
    <row r="2959" ht="19.7" customHeight="1" x14ac:dyDescent="0.25"/>
    <row r="2960" ht="19.7" customHeight="1" x14ac:dyDescent="0.25"/>
    <row r="2961" ht="19.7" customHeight="1" x14ac:dyDescent="0.25"/>
    <row r="2962" ht="19.7" customHeight="1" x14ac:dyDescent="0.25"/>
    <row r="2963" ht="19.7" customHeight="1" x14ac:dyDescent="0.25"/>
    <row r="2964" ht="19.7" customHeight="1" x14ac:dyDescent="0.25"/>
    <row r="2965" ht="19.7" customHeight="1" x14ac:dyDescent="0.25"/>
    <row r="2966" ht="19.7" customHeight="1" x14ac:dyDescent="0.25"/>
    <row r="2967" ht="19.7" customHeight="1" x14ac:dyDescent="0.25"/>
    <row r="2968" ht="19.7" customHeight="1" x14ac:dyDescent="0.25"/>
    <row r="2969" ht="19.7" customHeight="1" x14ac:dyDescent="0.25"/>
    <row r="2970" ht="19.7" customHeight="1" x14ac:dyDescent="0.25"/>
    <row r="2971" ht="19.7" customHeight="1" x14ac:dyDescent="0.25"/>
    <row r="2972" ht="19.7" customHeight="1" x14ac:dyDescent="0.25"/>
    <row r="2973" ht="19.7" customHeight="1" x14ac:dyDescent="0.25"/>
    <row r="2974" ht="19.7" customHeight="1" x14ac:dyDescent="0.25"/>
    <row r="2975" ht="19.7" customHeight="1" x14ac:dyDescent="0.25"/>
    <row r="2976" ht="19.7" customHeight="1" x14ac:dyDescent="0.25"/>
    <row r="2977" ht="19.7" customHeight="1" x14ac:dyDescent="0.25"/>
    <row r="2978" ht="19.7" customHeight="1" x14ac:dyDescent="0.25"/>
    <row r="2979" ht="19.7" customHeight="1" x14ac:dyDescent="0.25"/>
    <row r="2980" ht="19.7" customHeight="1" x14ac:dyDescent="0.25"/>
    <row r="2981" ht="19.7" customHeight="1" x14ac:dyDescent="0.25"/>
    <row r="2982" ht="19.7" customHeight="1" x14ac:dyDescent="0.25"/>
    <row r="2983" ht="19.7" customHeight="1" x14ac:dyDescent="0.25"/>
    <row r="2984" ht="19.7" customHeight="1" x14ac:dyDescent="0.25"/>
    <row r="2985" ht="19.7" customHeight="1" x14ac:dyDescent="0.25"/>
    <row r="2986" ht="19.7" customHeight="1" x14ac:dyDescent="0.25"/>
    <row r="2987" ht="19.7" customHeight="1" x14ac:dyDescent="0.25"/>
    <row r="2988" ht="19.7" customHeight="1" x14ac:dyDescent="0.25"/>
    <row r="2989" ht="19.7" customHeight="1" x14ac:dyDescent="0.25"/>
    <row r="2990" ht="19.7" customHeight="1" x14ac:dyDescent="0.25"/>
    <row r="2991" ht="19.7" customHeight="1" x14ac:dyDescent="0.25"/>
    <row r="2992" ht="19.7" customHeight="1" x14ac:dyDescent="0.25"/>
    <row r="2993" ht="19.7" customHeight="1" x14ac:dyDescent="0.25"/>
    <row r="2994" ht="19.7" customHeight="1" x14ac:dyDescent="0.25"/>
    <row r="2995" ht="19.7" customHeight="1" x14ac:dyDescent="0.25"/>
    <row r="2996" ht="19.7" customHeight="1" x14ac:dyDescent="0.25"/>
    <row r="2997" ht="19.7" customHeight="1" x14ac:dyDescent="0.25"/>
    <row r="2998" ht="19.7" customHeight="1" x14ac:dyDescent="0.25"/>
    <row r="2999" ht="19.7" customHeight="1" x14ac:dyDescent="0.25"/>
    <row r="3000" ht="19.7" customHeight="1" x14ac:dyDescent="0.25"/>
    <row r="3001" ht="19.7" customHeight="1" x14ac:dyDescent="0.25"/>
    <row r="3002" ht="19.7" customHeight="1" x14ac:dyDescent="0.25"/>
    <row r="3003" ht="19.7" customHeight="1" x14ac:dyDescent="0.25"/>
    <row r="3004" ht="19.7" customHeight="1" x14ac:dyDescent="0.25"/>
    <row r="3005" ht="19.7" customHeight="1" x14ac:dyDescent="0.25"/>
    <row r="3006" ht="19.7" customHeight="1" x14ac:dyDescent="0.25"/>
    <row r="3007" ht="19.7" customHeight="1" x14ac:dyDescent="0.25"/>
    <row r="3008" ht="19.7" customHeight="1" x14ac:dyDescent="0.25"/>
    <row r="3009" ht="19.7" customHeight="1" x14ac:dyDescent="0.25"/>
    <row r="3010" ht="19.7" customHeight="1" x14ac:dyDescent="0.25"/>
    <row r="3011" ht="19.7" customHeight="1" x14ac:dyDescent="0.25"/>
    <row r="3012" ht="19.7" customHeight="1" x14ac:dyDescent="0.25"/>
    <row r="3013" ht="19.7" customHeight="1" x14ac:dyDescent="0.25"/>
    <row r="3014" ht="19.7" customHeight="1" x14ac:dyDescent="0.25"/>
    <row r="3015" ht="19.7" customHeight="1" x14ac:dyDescent="0.25"/>
    <row r="3016" ht="19.7" customHeight="1" x14ac:dyDescent="0.25"/>
    <row r="3017" ht="19.7" customHeight="1" x14ac:dyDescent="0.25"/>
    <row r="3018" ht="19.7" customHeight="1" x14ac:dyDescent="0.25"/>
    <row r="3019" ht="19.7" customHeight="1" x14ac:dyDescent="0.25"/>
    <row r="3020" ht="19.7" customHeight="1" x14ac:dyDescent="0.25"/>
    <row r="3021" ht="19.7" customHeight="1" x14ac:dyDescent="0.25"/>
    <row r="3022" ht="19.7" customHeight="1" x14ac:dyDescent="0.25"/>
    <row r="3023" ht="19.7" customHeight="1" x14ac:dyDescent="0.25"/>
    <row r="3024" ht="19.7" customHeight="1" x14ac:dyDescent="0.25"/>
    <row r="3025" ht="19.7" customHeight="1" x14ac:dyDescent="0.25"/>
    <row r="3026" ht="19.7" customHeight="1" x14ac:dyDescent="0.25"/>
    <row r="3027" ht="19.7" customHeight="1" x14ac:dyDescent="0.25"/>
    <row r="3028" ht="19.7" customHeight="1" x14ac:dyDescent="0.25"/>
    <row r="3029" ht="19.7" customHeight="1" x14ac:dyDescent="0.25"/>
    <row r="3030" ht="19.7" customHeight="1" x14ac:dyDescent="0.25"/>
    <row r="3031" ht="19.7" customHeight="1" x14ac:dyDescent="0.25"/>
    <row r="3032" ht="19.7" customHeight="1" x14ac:dyDescent="0.25"/>
    <row r="3033" ht="19.7" customHeight="1" x14ac:dyDescent="0.25"/>
    <row r="3034" ht="19.7" customHeight="1" x14ac:dyDescent="0.25"/>
    <row r="3035" ht="19.7" customHeight="1" x14ac:dyDescent="0.25"/>
    <row r="3036" ht="19.7" customHeight="1" x14ac:dyDescent="0.25"/>
    <row r="3037" ht="19.7" customHeight="1" x14ac:dyDescent="0.25"/>
    <row r="3038" ht="19.7" customHeight="1" x14ac:dyDescent="0.25"/>
    <row r="3039" ht="19.7" customHeight="1" x14ac:dyDescent="0.25"/>
    <row r="3040" ht="19.7" customHeight="1" x14ac:dyDescent="0.25"/>
    <row r="3041" ht="19.7" customHeight="1" x14ac:dyDescent="0.25"/>
    <row r="3042" ht="19.7" customHeight="1" x14ac:dyDescent="0.25"/>
    <row r="3043" ht="19.7" customHeight="1" x14ac:dyDescent="0.25"/>
    <row r="3044" ht="19.7" customHeight="1" x14ac:dyDescent="0.25"/>
    <row r="3045" ht="19.7" customHeight="1" x14ac:dyDescent="0.25"/>
    <row r="3046" ht="19.7" customHeight="1" x14ac:dyDescent="0.25"/>
    <row r="3047" ht="19.7" customHeight="1" x14ac:dyDescent="0.25"/>
    <row r="3048" ht="19.7" customHeight="1" x14ac:dyDescent="0.25"/>
    <row r="3049" ht="19.7" customHeight="1" x14ac:dyDescent="0.25"/>
    <row r="3050" ht="19.7" customHeight="1" x14ac:dyDescent="0.25"/>
    <row r="3051" ht="19.7" customHeight="1" x14ac:dyDescent="0.25"/>
    <row r="3052" ht="19.7" customHeight="1" x14ac:dyDescent="0.25"/>
    <row r="3053" ht="19.7" customHeight="1" x14ac:dyDescent="0.25"/>
    <row r="3054" ht="19.7" customHeight="1" x14ac:dyDescent="0.25"/>
    <row r="3055" ht="19.7" customHeight="1" x14ac:dyDescent="0.25"/>
    <row r="3056" ht="19.7" customHeight="1" x14ac:dyDescent="0.25"/>
    <row r="3057" ht="19.7" customHeight="1" x14ac:dyDescent="0.25"/>
    <row r="3058" ht="19.7" customHeight="1" x14ac:dyDescent="0.25"/>
    <row r="3059" ht="19.7" customHeight="1" x14ac:dyDescent="0.25"/>
    <row r="3060" ht="19.7" customHeight="1" x14ac:dyDescent="0.25"/>
    <row r="3061" ht="19.7" customHeight="1" x14ac:dyDescent="0.25"/>
    <row r="3062" ht="19.7" customHeight="1" x14ac:dyDescent="0.25"/>
    <row r="3063" ht="19.7" customHeight="1" x14ac:dyDescent="0.25"/>
    <row r="3064" ht="19.7" customHeight="1" x14ac:dyDescent="0.25"/>
    <row r="3065" ht="19.7" customHeight="1" x14ac:dyDescent="0.25"/>
    <row r="3066" ht="19.7" customHeight="1" x14ac:dyDescent="0.25"/>
    <row r="3067" ht="19.7" customHeight="1" x14ac:dyDescent="0.25"/>
    <row r="3068" ht="19.7" customHeight="1" x14ac:dyDescent="0.25"/>
    <row r="3069" ht="19.7" customHeight="1" x14ac:dyDescent="0.25"/>
    <row r="3070" ht="19.7" customHeight="1" x14ac:dyDescent="0.25"/>
    <row r="3071" ht="19.7" customHeight="1" x14ac:dyDescent="0.25"/>
    <row r="3072" ht="19.7" customHeight="1" x14ac:dyDescent="0.25"/>
    <row r="3073" ht="19.7" customHeight="1" x14ac:dyDescent="0.25"/>
    <row r="3074" ht="19.7" customHeight="1" x14ac:dyDescent="0.25"/>
    <row r="3075" ht="19.7" customHeight="1" x14ac:dyDescent="0.25"/>
    <row r="3076" ht="19.7" customHeight="1" x14ac:dyDescent="0.25"/>
    <row r="3077" ht="19.7" customHeight="1" x14ac:dyDescent="0.25"/>
    <row r="3078" ht="19.7" customHeight="1" x14ac:dyDescent="0.25"/>
    <row r="3079" ht="19.7" customHeight="1" x14ac:dyDescent="0.25"/>
    <row r="3080" ht="19.7" customHeight="1" x14ac:dyDescent="0.25"/>
    <row r="3081" ht="19.7" customHeight="1" x14ac:dyDescent="0.25"/>
    <row r="3082" ht="19.7" customHeight="1" x14ac:dyDescent="0.25"/>
    <row r="3083" ht="19.7" customHeight="1" x14ac:dyDescent="0.25"/>
    <row r="3084" ht="19.7" customHeight="1" x14ac:dyDescent="0.25"/>
    <row r="3085" ht="19.7" customHeight="1" x14ac:dyDescent="0.25"/>
    <row r="3086" ht="19.7" customHeight="1" x14ac:dyDescent="0.25"/>
    <row r="3087" ht="19.7" customHeight="1" x14ac:dyDescent="0.25"/>
    <row r="3088" ht="19.7" customHeight="1" x14ac:dyDescent="0.25"/>
    <row r="3089" ht="19.7" customHeight="1" x14ac:dyDescent="0.25"/>
    <row r="3090" ht="19.7" customHeight="1" x14ac:dyDescent="0.25"/>
    <row r="3091" ht="19.7" customHeight="1" x14ac:dyDescent="0.25"/>
    <row r="3092" ht="19.7" customHeight="1" x14ac:dyDescent="0.25"/>
    <row r="3093" ht="19.7" customHeight="1" x14ac:dyDescent="0.25"/>
    <row r="3094" ht="19.7" customHeight="1" x14ac:dyDescent="0.25"/>
    <row r="3095" ht="19.7" customHeight="1" x14ac:dyDescent="0.25"/>
    <row r="3096" ht="19.7" customHeight="1" x14ac:dyDescent="0.25"/>
    <row r="3097" ht="19.7" customHeight="1" x14ac:dyDescent="0.25"/>
    <row r="3098" ht="19.7" customHeight="1" x14ac:dyDescent="0.25"/>
    <row r="3099" ht="19.7" customHeight="1" x14ac:dyDescent="0.25"/>
    <row r="3100" ht="19.7" customHeight="1" x14ac:dyDescent="0.25"/>
    <row r="3101" ht="19.7" customHeight="1" x14ac:dyDescent="0.25"/>
    <row r="3102" ht="19.7" customHeight="1" x14ac:dyDescent="0.25"/>
    <row r="3103" ht="19.7" customHeight="1" x14ac:dyDescent="0.25"/>
    <row r="3104" ht="19.7" customHeight="1" x14ac:dyDescent="0.25"/>
    <row r="3105" ht="19.7" customHeight="1" x14ac:dyDescent="0.25"/>
    <row r="3106" ht="19.7" customHeight="1" x14ac:dyDescent="0.25"/>
    <row r="3107" ht="19.7" customHeight="1" x14ac:dyDescent="0.25"/>
    <row r="3108" ht="19.7" customHeight="1" x14ac:dyDescent="0.25"/>
    <row r="3109" ht="19.7" customHeight="1" x14ac:dyDescent="0.25"/>
    <row r="3110" ht="19.7" customHeight="1" x14ac:dyDescent="0.25"/>
    <row r="3111" ht="19.7" customHeight="1" x14ac:dyDescent="0.25"/>
    <row r="3112" ht="19.7" customHeight="1" x14ac:dyDescent="0.25"/>
    <row r="3113" ht="19.7" customHeight="1" x14ac:dyDescent="0.25"/>
    <row r="3114" ht="19.7" customHeight="1" x14ac:dyDescent="0.25"/>
    <row r="3115" ht="19.7" customHeight="1" x14ac:dyDescent="0.25"/>
    <row r="3116" ht="19.7" customHeight="1" x14ac:dyDescent="0.25"/>
    <row r="3117" ht="19.7" customHeight="1" x14ac:dyDescent="0.25"/>
    <row r="3118" ht="19.7" customHeight="1" x14ac:dyDescent="0.25"/>
    <row r="3119" ht="19.7" customHeight="1" x14ac:dyDescent="0.25"/>
    <row r="3120" ht="19.7" customHeight="1" x14ac:dyDescent="0.25"/>
    <row r="3121" ht="19.7" customHeight="1" x14ac:dyDescent="0.25"/>
    <row r="3122" ht="19.7" customHeight="1" x14ac:dyDescent="0.25"/>
    <row r="3123" ht="19.7" customHeight="1" x14ac:dyDescent="0.25"/>
    <row r="3124" ht="19.7" customHeight="1" x14ac:dyDescent="0.25"/>
    <row r="3125" ht="19.7" customHeight="1" x14ac:dyDescent="0.25"/>
    <row r="3126" ht="19.7" customHeight="1" x14ac:dyDescent="0.25"/>
    <row r="3127" ht="19.7" customHeight="1" x14ac:dyDescent="0.25"/>
    <row r="3128" ht="19.7" customHeight="1" x14ac:dyDescent="0.25"/>
    <row r="3129" ht="19.7" customHeight="1" x14ac:dyDescent="0.25"/>
    <row r="3130" ht="19.7" customHeight="1" x14ac:dyDescent="0.25"/>
    <row r="3131" ht="19.7" customHeight="1" x14ac:dyDescent="0.25"/>
    <row r="3132" ht="19.7" customHeight="1" x14ac:dyDescent="0.25"/>
    <row r="3133" ht="19.7" customHeight="1" x14ac:dyDescent="0.25"/>
    <row r="3134" ht="19.7" customHeight="1" x14ac:dyDescent="0.25"/>
    <row r="3135" ht="19.7" customHeight="1" x14ac:dyDescent="0.25"/>
    <row r="3136" ht="19.7" customHeight="1" x14ac:dyDescent="0.25"/>
    <row r="3137" ht="19.7" customHeight="1" x14ac:dyDescent="0.25"/>
    <row r="3138" ht="19.7" customHeight="1" x14ac:dyDescent="0.25"/>
    <row r="3139" ht="19.7" customHeight="1" x14ac:dyDescent="0.25"/>
    <row r="3140" ht="19.7" customHeight="1" x14ac:dyDescent="0.25"/>
    <row r="3141" ht="19.7" customHeight="1" x14ac:dyDescent="0.25"/>
    <row r="3142" ht="19.7" customHeight="1" x14ac:dyDescent="0.25"/>
    <row r="3143" ht="19.7" customHeight="1" x14ac:dyDescent="0.25"/>
    <row r="3144" ht="19.7" customHeight="1" x14ac:dyDescent="0.25"/>
    <row r="3145" ht="19.7" customHeight="1" x14ac:dyDescent="0.25"/>
    <row r="3146" ht="19.7" customHeight="1" x14ac:dyDescent="0.25"/>
    <row r="3147" ht="19.7" customHeight="1" x14ac:dyDescent="0.25"/>
    <row r="3148" ht="19.7" customHeight="1" x14ac:dyDescent="0.25"/>
    <row r="3149" ht="19.7" customHeight="1" x14ac:dyDescent="0.25"/>
    <row r="3150" ht="19.7" customHeight="1" x14ac:dyDescent="0.25"/>
    <row r="3151" ht="19.7" customHeight="1" x14ac:dyDescent="0.25"/>
    <row r="3152" ht="19.7" customHeight="1" x14ac:dyDescent="0.25"/>
    <row r="3153" ht="19.7" customHeight="1" x14ac:dyDescent="0.25"/>
    <row r="3154" ht="19.7" customHeight="1" x14ac:dyDescent="0.25"/>
    <row r="3155" ht="19.7" customHeight="1" x14ac:dyDescent="0.25"/>
    <row r="3156" ht="19.7" customHeight="1" x14ac:dyDescent="0.25"/>
    <row r="3157" ht="19.7" customHeight="1" x14ac:dyDescent="0.25"/>
    <row r="3158" ht="19.7" customHeight="1" x14ac:dyDescent="0.25"/>
    <row r="3159" ht="19.7" customHeight="1" x14ac:dyDescent="0.25"/>
    <row r="3160" ht="19.7" customHeight="1" x14ac:dyDescent="0.25"/>
    <row r="3161" ht="19.7" customHeight="1" x14ac:dyDescent="0.25"/>
    <row r="3162" ht="19.7" customHeight="1" x14ac:dyDescent="0.25"/>
    <row r="3163" ht="19.7" customHeight="1" x14ac:dyDescent="0.25"/>
    <row r="3164" ht="19.7" customHeight="1" x14ac:dyDescent="0.25"/>
    <row r="3165" ht="19.7" customHeight="1" x14ac:dyDescent="0.25"/>
    <row r="3166" ht="19.7" customHeight="1" x14ac:dyDescent="0.25"/>
    <row r="3167" ht="19.7" customHeight="1" x14ac:dyDescent="0.25"/>
    <row r="3168" ht="19.7" customHeight="1" x14ac:dyDescent="0.25"/>
    <row r="3169" ht="19.7" customHeight="1" x14ac:dyDescent="0.25"/>
    <row r="3170" ht="19.7" customHeight="1" x14ac:dyDescent="0.25"/>
    <row r="3171" ht="19.7" customHeight="1" x14ac:dyDescent="0.25"/>
    <row r="3172" ht="19.7" customHeight="1" x14ac:dyDescent="0.25"/>
    <row r="3173" ht="19.7" customHeight="1" x14ac:dyDescent="0.25"/>
    <row r="3174" ht="19.7" customHeight="1" x14ac:dyDescent="0.25"/>
    <row r="3175" ht="19.7" customHeight="1" x14ac:dyDescent="0.25"/>
    <row r="3176" ht="19.7" customHeight="1" x14ac:dyDescent="0.25"/>
    <row r="3177" ht="19.7" customHeight="1" x14ac:dyDescent="0.25"/>
    <row r="3178" ht="19.7" customHeight="1" x14ac:dyDescent="0.25"/>
    <row r="3179" ht="19.7" customHeight="1" x14ac:dyDescent="0.25"/>
    <row r="3180" ht="19.7" customHeight="1" x14ac:dyDescent="0.25"/>
    <row r="3181" ht="19.7" customHeight="1" x14ac:dyDescent="0.25"/>
    <row r="3182" ht="19.7" customHeight="1" x14ac:dyDescent="0.25"/>
    <row r="3183" ht="19.7" customHeight="1" x14ac:dyDescent="0.25"/>
    <row r="3184" ht="19.7" customHeight="1" x14ac:dyDescent="0.25"/>
    <row r="3185" ht="19.7" customHeight="1" x14ac:dyDescent="0.25"/>
    <row r="3186" ht="19.7" customHeight="1" x14ac:dyDescent="0.25"/>
    <row r="3187" ht="19.7" customHeight="1" x14ac:dyDescent="0.25"/>
    <row r="3188" ht="19.7" customHeight="1" x14ac:dyDescent="0.25"/>
    <row r="3189" ht="19.7" customHeight="1" x14ac:dyDescent="0.25"/>
    <row r="3190" ht="19.7" customHeight="1" x14ac:dyDescent="0.25"/>
    <row r="3191" ht="19.7" customHeight="1" x14ac:dyDescent="0.25"/>
    <row r="3192" ht="19.7" customHeight="1" x14ac:dyDescent="0.25"/>
    <row r="3193" ht="19.7" customHeight="1" x14ac:dyDescent="0.25"/>
    <row r="3194" ht="19.7" customHeight="1" x14ac:dyDescent="0.25"/>
    <row r="3195" ht="19.7" customHeight="1" x14ac:dyDescent="0.25"/>
    <row r="3196" ht="19.7" customHeight="1" x14ac:dyDescent="0.25"/>
    <row r="3197" ht="19.7" customHeight="1" x14ac:dyDescent="0.25"/>
    <row r="3198" ht="19.7" customHeight="1" x14ac:dyDescent="0.25"/>
    <row r="3199" ht="19.7" customHeight="1" x14ac:dyDescent="0.25"/>
    <row r="3200" ht="19.7" customHeight="1" x14ac:dyDescent="0.25"/>
    <row r="3201" ht="19.7" customHeight="1" x14ac:dyDescent="0.25"/>
    <row r="3202" ht="19.7" customHeight="1" x14ac:dyDescent="0.25"/>
    <row r="3203" ht="19.7" customHeight="1" x14ac:dyDescent="0.25"/>
    <row r="3204" ht="19.7" customHeight="1" x14ac:dyDescent="0.25"/>
    <row r="3205" ht="19.7" customHeight="1" x14ac:dyDescent="0.25"/>
    <row r="3206" ht="19.7" customHeight="1" x14ac:dyDescent="0.25"/>
    <row r="3207" ht="19.7" customHeight="1" x14ac:dyDescent="0.25"/>
    <row r="3208" ht="19.7" customHeight="1" x14ac:dyDescent="0.25"/>
    <row r="3209" ht="19.7" customHeight="1" x14ac:dyDescent="0.25"/>
    <row r="3210" ht="19.7" customHeight="1" x14ac:dyDescent="0.25"/>
    <row r="3211" ht="19.7" customHeight="1" x14ac:dyDescent="0.25"/>
    <row r="3212" ht="19.7" customHeight="1" x14ac:dyDescent="0.25"/>
    <row r="3213" ht="19.7" customHeight="1" x14ac:dyDescent="0.25"/>
    <row r="3214" ht="19.7" customHeight="1" x14ac:dyDescent="0.25"/>
    <row r="3215" ht="19.7" customHeight="1" x14ac:dyDescent="0.25"/>
    <row r="3216" ht="19.7" customHeight="1" x14ac:dyDescent="0.25"/>
    <row r="3217" ht="19.7" customHeight="1" x14ac:dyDescent="0.25"/>
    <row r="3218" ht="19.7" customHeight="1" x14ac:dyDescent="0.25"/>
    <row r="3219" ht="19.7" customHeight="1" x14ac:dyDescent="0.25"/>
    <row r="3220" ht="19.7" customHeight="1" x14ac:dyDescent="0.25"/>
    <row r="3221" ht="19.7" customHeight="1" x14ac:dyDescent="0.25"/>
    <row r="3222" ht="19.7" customHeight="1" x14ac:dyDescent="0.25"/>
    <row r="3223" ht="19.7" customHeight="1" x14ac:dyDescent="0.25"/>
    <row r="3224" ht="19.7" customHeight="1" x14ac:dyDescent="0.25"/>
    <row r="3225" ht="19.7" customHeight="1" x14ac:dyDescent="0.25"/>
    <row r="3226" ht="19.7" customHeight="1" x14ac:dyDescent="0.25"/>
    <row r="3227" ht="19.7" customHeight="1" x14ac:dyDescent="0.25"/>
    <row r="3228" ht="19.7" customHeight="1" x14ac:dyDescent="0.25"/>
    <row r="3229" ht="19.7" customHeight="1" x14ac:dyDescent="0.25"/>
    <row r="3230" ht="19.7" customHeight="1" x14ac:dyDescent="0.25"/>
    <row r="3231" ht="19.7" customHeight="1" x14ac:dyDescent="0.25"/>
    <row r="3232" ht="19.7" customHeight="1" x14ac:dyDescent="0.25"/>
    <row r="3233" ht="19.7" customHeight="1" x14ac:dyDescent="0.25"/>
    <row r="3234" ht="19.7" customHeight="1" x14ac:dyDescent="0.25"/>
    <row r="3235" ht="19.7" customHeight="1" x14ac:dyDescent="0.25"/>
    <row r="3236" ht="19.7" customHeight="1" x14ac:dyDescent="0.25"/>
    <row r="3237" ht="19.7" customHeight="1" x14ac:dyDescent="0.25"/>
    <row r="3238" ht="19.7" customHeight="1" x14ac:dyDescent="0.25"/>
    <row r="3239" ht="19.7" customHeight="1" x14ac:dyDescent="0.25"/>
    <row r="3240" ht="19.7" customHeight="1" x14ac:dyDescent="0.25"/>
    <row r="3241" ht="19.7" customHeight="1" x14ac:dyDescent="0.25"/>
    <row r="3242" ht="19.7" customHeight="1" x14ac:dyDescent="0.25"/>
    <row r="3243" ht="19.7" customHeight="1" x14ac:dyDescent="0.25"/>
    <row r="3244" ht="19.7" customHeight="1" x14ac:dyDescent="0.25"/>
    <row r="3245" ht="19.7" customHeight="1" x14ac:dyDescent="0.25"/>
    <row r="3246" ht="19.7" customHeight="1" x14ac:dyDescent="0.25"/>
    <row r="3247" ht="19.7" customHeight="1" x14ac:dyDescent="0.25"/>
    <row r="3248" ht="19.7" customHeight="1" x14ac:dyDescent="0.25"/>
    <row r="3249" ht="19.7" customHeight="1" x14ac:dyDescent="0.25"/>
    <row r="3250" ht="19.7" customHeight="1" x14ac:dyDescent="0.25"/>
    <row r="3251" ht="19.7" customHeight="1" x14ac:dyDescent="0.25"/>
    <row r="3252" ht="19.7" customHeight="1" x14ac:dyDescent="0.25"/>
    <row r="3253" ht="19.7" customHeight="1" x14ac:dyDescent="0.25"/>
    <row r="3254" ht="19.7" customHeight="1" x14ac:dyDescent="0.25"/>
    <row r="3255" ht="19.7" customHeight="1" x14ac:dyDescent="0.25"/>
    <row r="3256" ht="19.7" customHeight="1" x14ac:dyDescent="0.25"/>
    <row r="3257" ht="19.7" customHeight="1" x14ac:dyDescent="0.25"/>
    <row r="3258" ht="19.7" customHeight="1" x14ac:dyDescent="0.25"/>
    <row r="3259" ht="19.7" customHeight="1" x14ac:dyDescent="0.25"/>
    <row r="3260" ht="19.7" customHeight="1" x14ac:dyDescent="0.25"/>
    <row r="3261" ht="19.7" customHeight="1" x14ac:dyDescent="0.25"/>
    <row r="3262" ht="19.7" customHeight="1" x14ac:dyDescent="0.25"/>
    <row r="3263" ht="19.7" customHeight="1" x14ac:dyDescent="0.25"/>
    <row r="3264" ht="19.7" customHeight="1" x14ac:dyDescent="0.25"/>
    <row r="3265" ht="19.7" customHeight="1" x14ac:dyDescent="0.25"/>
    <row r="3266" ht="19.7" customHeight="1" x14ac:dyDescent="0.25"/>
    <row r="3267" ht="19.7" customHeight="1" x14ac:dyDescent="0.25"/>
    <row r="3268" ht="19.7" customHeight="1" x14ac:dyDescent="0.25"/>
    <row r="3269" ht="19.7" customHeight="1" x14ac:dyDescent="0.25"/>
    <row r="3270" ht="19.7" customHeight="1" x14ac:dyDescent="0.25"/>
    <row r="3271" ht="19.7" customHeight="1" x14ac:dyDescent="0.25"/>
    <row r="3272" ht="19.7" customHeight="1" x14ac:dyDescent="0.25"/>
    <row r="3273" ht="19.7" customHeight="1" x14ac:dyDescent="0.25"/>
    <row r="3274" ht="19.7" customHeight="1" x14ac:dyDescent="0.25"/>
    <row r="3275" ht="19.7" customHeight="1" x14ac:dyDescent="0.25"/>
    <row r="3276" ht="19.7" customHeight="1" x14ac:dyDescent="0.25"/>
    <row r="3277" ht="19.7" customHeight="1" x14ac:dyDescent="0.25"/>
    <row r="3278" ht="19.7" customHeight="1" x14ac:dyDescent="0.25"/>
    <row r="3279" ht="19.7" customHeight="1" x14ac:dyDescent="0.25"/>
    <row r="3280" ht="19.7" customHeight="1" x14ac:dyDescent="0.25"/>
    <row r="3281" ht="19.7" customHeight="1" x14ac:dyDescent="0.25"/>
    <row r="3282" ht="19.7" customHeight="1" x14ac:dyDescent="0.25"/>
    <row r="3283" ht="19.7" customHeight="1" x14ac:dyDescent="0.25"/>
    <row r="3284" ht="19.7" customHeight="1" x14ac:dyDescent="0.25"/>
    <row r="3285" ht="19.7" customHeight="1" x14ac:dyDescent="0.25"/>
    <row r="3286" ht="19.7" customHeight="1" x14ac:dyDescent="0.25"/>
    <row r="3287" ht="19.7" customHeight="1" x14ac:dyDescent="0.25"/>
    <row r="3288" ht="19.7" customHeight="1" x14ac:dyDescent="0.25"/>
    <row r="3289" ht="19.7" customHeight="1" x14ac:dyDescent="0.25"/>
    <row r="3290" ht="19.7" customHeight="1" x14ac:dyDescent="0.25"/>
    <row r="3291" ht="19.7" customHeight="1" x14ac:dyDescent="0.25"/>
    <row r="3292" ht="19.7" customHeight="1" x14ac:dyDescent="0.25"/>
    <row r="3293" ht="19.7" customHeight="1" x14ac:dyDescent="0.25"/>
    <row r="3294" ht="19.7" customHeight="1" x14ac:dyDescent="0.25"/>
    <row r="3295" ht="19.7" customHeight="1" x14ac:dyDescent="0.25"/>
    <row r="3296" ht="19.7" customHeight="1" x14ac:dyDescent="0.25"/>
    <row r="3297" ht="19.7" customHeight="1" x14ac:dyDescent="0.25"/>
    <row r="3298" ht="19.7" customHeight="1" x14ac:dyDescent="0.25"/>
    <row r="3299" ht="19.7" customHeight="1" x14ac:dyDescent="0.25"/>
    <row r="3300" ht="19.7" customHeight="1" x14ac:dyDescent="0.25"/>
    <row r="3301" ht="19.7" customHeight="1" x14ac:dyDescent="0.25"/>
    <row r="3302" ht="19.7" customHeight="1" x14ac:dyDescent="0.25"/>
    <row r="3303" ht="19.7" customHeight="1" x14ac:dyDescent="0.25"/>
    <row r="3304" ht="19.7" customHeight="1" x14ac:dyDescent="0.25"/>
    <row r="3305" ht="19.7" customHeight="1" x14ac:dyDescent="0.25"/>
    <row r="3306" ht="19.7" customHeight="1" x14ac:dyDescent="0.25"/>
    <row r="3307" ht="19.7" customHeight="1" x14ac:dyDescent="0.25"/>
    <row r="3308" ht="19.7" customHeight="1" x14ac:dyDescent="0.25"/>
    <row r="3309" ht="19.7" customHeight="1" x14ac:dyDescent="0.25"/>
    <row r="3310" ht="19.7" customHeight="1" x14ac:dyDescent="0.25"/>
    <row r="3311" ht="19.7" customHeight="1" x14ac:dyDescent="0.25"/>
    <row r="3312" ht="19.7" customHeight="1" x14ac:dyDescent="0.25"/>
    <row r="3313" ht="19.7" customHeight="1" x14ac:dyDescent="0.25"/>
    <row r="3314" ht="19.7" customHeight="1" x14ac:dyDescent="0.25"/>
    <row r="3315" ht="19.7" customHeight="1" x14ac:dyDescent="0.25"/>
    <row r="3316" ht="19.7" customHeight="1" x14ac:dyDescent="0.25"/>
    <row r="3317" ht="19.7" customHeight="1" x14ac:dyDescent="0.25"/>
    <row r="3318" ht="19.7" customHeight="1" x14ac:dyDescent="0.25"/>
    <row r="3319" ht="19.7" customHeight="1" x14ac:dyDescent="0.25"/>
    <row r="3320" ht="19.7" customHeight="1" x14ac:dyDescent="0.25"/>
    <row r="3321" ht="19.7" customHeight="1" x14ac:dyDescent="0.25"/>
    <row r="3322" ht="19.7" customHeight="1" x14ac:dyDescent="0.25"/>
    <row r="3323" ht="19.7" customHeight="1" x14ac:dyDescent="0.25"/>
    <row r="3324" ht="19.7" customHeight="1" x14ac:dyDescent="0.25"/>
    <row r="3325" ht="19.7" customHeight="1" x14ac:dyDescent="0.25"/>
    <row r="3326" ht="19.7" customHeight="1" x14ac:dyDescent="0.25"/>
    <row r="3327" ht="19.7" customHeight="1" x14ac:dyDescent="0.25"/>
    <row r="3328" ht="19.7" customHeight="1" x14ac:dyDescent="0.25"/>
    <row r="3329" ht="19.7" customHeight="1" x14ac:dyDescent="0.25"/>
    <row r="3330" ht="19.7" customHeight="1" x14ac:dyDescent="0.25"/>
    <row r="3331" ht="19.7" customHeight="1" x14ac:dyDescent="0.25"/>
    <row r="3332" ht="19.7" customHeight="1" x14ac:dyDescent="0.25"/>
    <row r="3333" ht="19.7" customHeight="1" x14ac:dyDescent="0.25"/>
    <row r="3334" ht="19.7" customHeight="1" x14ac:dyDescent="0.25"/>
    <row r="3335" ht="19.7" customHeight="1" x14ac:dyDescent="0.25"/>
    <row r="3336" ht="19.7" customHeight="1" x14ac:dyDescent="0.25"/>
    <row r="3337" ht="19.7" customHeight="1" x14ac:dyDescent="0.25"/>
    <row r="3338" ht="19.7" customHeight="1" x14ac:dyDescent="0.25"/>
    <row r="3339" ht="19.7" customHeight="1" x14ac:dyDescent="0.25"/>
    <row r="3340" ht="19.7" customHeight="1" x14ac:dyDescent="0.25"/>
    <row r="3341" ht="19.7" customHeight="1" x14ac:dyDescent="0.25"/>
    <row r="3342" ht="19.7" customHeight="1" x14ac:dyDescent="0.25"/>
    <row r="3343" ht="19.7" customHeight="1" x14ac:dyDescent="0.25"/>
    <row r="3344" ht="19.7" customHeight="1" x14ac:dyDescent="0.25"/>
    <row r="3345" ht="19.7" customHeight="1" x14ac:dyDescent="0.25"/>
    <row r="3346" ht="19.7" customHeight="1" x14ac:dyDescent="0.25"/>
    <row r="3347" ht="19.7" customHeight="1" x14ac:dyDescent="0.25"/>
    <row r="3348" ht="19.7" customHeight="1" x14ac:dyDescent="0.25"/>
    <row r="3349" ht="19.7" customHeight="1" x14ac:dyDescent="0.25"/>
    <row r="3350" ht="19.7" customHeight="1" x14ac:dyDescent="0.25"/>
    <row r="3351" ht="19.7" customHeight="1" x14ac:dyDescent="0.25"/>
    <row r="3352" ht="19.7" customHeight="1" x14ac:dyDescent="0.25"/>
    <row r="3353" ht="19.7" customHeight="1" x14ac:dyDescent="0.25"/>
    <row r="3354" ht="19.7" customHeight="1" x14ac:dyDescent="0.25"/>
    <row r="3355" ht="19.7" customHeight="1" x14ac:dyDescent="0.25"/>
    <row r="3356" ht="19.7" customHeight="1" x14ac:dyDescent="0.25"/>
    <row r="3357" ht="19.7" customHeight="1" x14ac:dyDescent="0.25"/>
    <row r="3358" ht="19.7" customHeight="1" x14ac:dyDescent="0.25"/>
    <row r="3359" ht="19.7" customHeight="1" x14ac:dyDescent="0.25"/>
    <row r="3360" ht="19.7" customHeight="1" x14ac:dyDescent="0.25"/>
    <row r="3361" ht="19.7" customHeight="1" x14ac:dyDescent="0.25"/>
    <row r="3362" ht="19.7" customHeight="1" x14ac:dyDescent="0.25"/>
    <row r="3363" ht="19.7" customHeight="1" x14ac:dyDescent="0.25"/>
    <row r="3364" ht="19.7" customHeight="1" x14ac:dyDescent="0.25"/>
    <row r="3365" ht="19.7" customHeight="1" x14ac:dyDescent="0.25"/>
    <row r="3366" ht="19.7" customHeight="1" x14ac:dyDescent="0.25"/>
    <row r="3367" ht="19.7" customHeight="1" x14ac:dyDescent="0.25"/>
    <row r="3368" ht="19.7" customHeight="1" x14ac:dyDescent="0.25"/>
    <row r="3369" ht="19.7" customHeight="1" x14ac:dyDescent="0.25"/>
    <row r="3370" ht="19.7" customHeight="1" x14ac:dyDescent="0.25"/>
    <row r="3371" ht="19.7" customHeight="1" x14ac:dyDescent="0.25"/>
    <row r="3372" ht="19.7" customHeight="1" x14ac:dyDescent="0.25"/>
    <row r="3373" ht="19.7" customHeight="1" x14ac:dyDescent="0.25"/>
    <row r="3374" ht="19.7" customHeight="1" x14ac:dyDescent="0.25"/>
    <row r="3375" ht="19.7" customHeight="1" x14ac:dyDescent="0.25"/>
    <row r="3376" ht="19.7" customHeight="1" x14ac:dyDescent="0.25"/>
    <row r="3377" ht="19.7" customHeight="1" x14ac:dyDescent="0.25"/>
    <row r="3378" ht="19.7" customHeight="1" x14ac:dyDescent="0.25"/>
    <row r="3379" ht="19.7" customHeight="1" x14ac:dyDescent="0.25"/>
    <row r="3380" ht="19.7" customHeight="1" x14ac:dyDescent="0.25"/>
    <row r="3381" ht="19.7" customHeight="1" x14ac:dyDescent="0.25"/>
    <row r="3382" ht="19.7" customHeight="1" x14ac:dyDescent="0.25"/>
    <row r="3383" ht="19.7" customHeight="1" x14ac:dyDescent="0.25"/>
    <row r="3384" ht="19.7" customHeight="1" x14ac:dyDescent="0.25"/>
    <row r="3385" ht="19.7" customHeight="1" x14ac:dyDescent="0.25"/>
    <row r="3386" ht="19.7" customHeight="1" x14ac:dyDescent="0.25"/>
    <row r="3387" ht="19.7" customHeight="1" x14ac:dyDescent="0.25"/>
    <row r="3388" ht="19.7" customHeight="1" x14ac:dyDescent="0.25"/>
    <row r="3389" ht="19.7" customHeight="1" x14ac:dyDescent="0.25"/>
    <row r="3390" ht="19.7" customHeight="1" x14ac:dyDescent="0.25"/>
    <row r="3391" ht="19.7" customHeight="1" x14ac:dyDescent="0.25"/>
    <row r="3392" ht="19.7" customHeight="1" x14ac:dyDescent="0.25"/>
    <row r="3393" ht="19.7" customHeight="1" x14ac:dyDescent="0.25"/>
    <row r="3394" ht="19.7" customHeight="1" x14ac:dyDescent="0.25"/>
    <row r="3395" ht="19.7" customHeight="1" x14ac:dyDescent="0.25"/>
    <row r="3396" ht="19.7" customHeight="1" x14ac:dyDescent="0.25"/>
    <row r="3397" ht="19.7" customHeight="1" x14ac:dyDescent="0.25"/>
    <row r="3398" ht="19.7" customHeight="1" x14ac:dyDescent="0.25"/>
    <row r="3399" ht="19.7" customHeight="1" x14ac:dyDescent="0.25"/>
    <row r="3400" ht="19.7" customHeight="1" x14ac:dyDescent="0.25"/>
    <row r="3401" ht="19.7" customHeight="1" x14ac:dyDescent="0.25"/>
    <row r="3402" ht="19.7" customHeight="1" x14ac:dyDescent="0.25"/>
    <row r="3403" ht="19.7" customHeight="1" x14ac:dyDescent="0.25"/>
    <row r="3404" ht="19.7" customHeight="1" x14ac:dyDescent="0.25"/>
    <row r="3405" ht="19.7" customHeight="1" x14ac:dyDescent="0.25"/>
    <row r="3406" ht="19.7" customHeight="1" x14ac:dyDescent="0.25"/>
    <row r="3407" ht="19.7" customHeight="1" x14ac:dyDescent="0.25"/>
    <row r="3408" ht="19.7" customHeight="1" x14ac:dyDescent="0.25"/>
    <row r="3409" ht="19.7" customHeight="1" x14ac:dyDescent="0.25"/>
    <row r="3410" ht="19.7" customHeight="1" x14ac:dyDescent="0.25"/>
    <row r="3411" ht="19.7" customHeight="1" x14ac:dyDescent="0.25"/>
    <row r="3412" ht="19.7" customHeight="1" x14ac:dyDescent="0.25"/>
    <row r="3413" ht="19.7" customHeight="1" x14ac:dyDescent="0.25"/>
    <row r="3414" ht="19.7" customHeight="1" x14ac:dyDescent="0.25"/>
    <row r="3415" ht="19.7" customHeight="1" x14ac:dyDescent="0.25"/>
    <row r="3416" ht="19.7" customHeight="1" x14ac:dyDescent="0.25"/>
    <row r="3417" ht="19.7" customHeight="1" x14ac:dyDescent="0.25"/>
    <row r="3418" ht="19.7" customHeight="1" x14ac:dyDescent="0.25"/>
    <row r="3419" ht="19.7" customHeight="1" x14ac:dyDescent="0.25"/>
    <row r="3420" ht="19.7" customHeight="1" x14ac:dyDescent="0.25"/>
    <row r="3421" ht="19.7" customHeight="1" x14ac:dyDescent="0.25"/>
    <row r="3422" ht="19.7" customHeight="1" x14ac:dyDescent="0.25"/>
    <row r="3423" ht="19.7" customHeight="1" x14ac:dyDescent="0.25"/>
    <row r="3424" ht="19.7" customHeight="1" x14ac:dyDescent="0.25"/>
    <row r="3425" ht="19.7" customHeight="1" x14ac:dyDescent="0.25"/>
    <row r="3426" ht="19.7" customHeight="1" x14ac:dyDescent="0.25"/>
    <row r="3427" ht="19.7" customHeight="1" x14ac:dyDescent="0.25"/>
    <row r="3428" ht="19.7" customHeight="1" x14ac:dyDescent="0.25"/>
    <row r="3429" ht="19.7" customHeight="1" x14ac:dyDescent="0.25"/>
    <row r="3430" ht="19.7" customHeight="1" x14ac:dyDescent="0.25"/>
    <row r="3431" ht="19.7" customHeight="1" x14ac:dyDescent="0.25"/>
    <row r="3432" ht="19.7" customHeight="1" x14ac:dyDescent="0.25"/>
    <row r="3433" ht="19.7" customHeight="1" x14ac:dyDescent="0.25"/>
    <row r="3434" ht="19.7" customHeight="1" x14ac:dyDescent="0.25"/>
    <row r="3435" ht="19.7" customHeight="1" x14ac:dyDescent="0.25"/>
    <row r="3436" ht="19.7" customHeight="1" x14ac:dyDescent="0.25"/>
    <row r="3437" ht="19.7" customHeight="1" x14ac:dyDescent="0.25"/>
    <row r="3438" ht="19.7" customHeight="1" x14ac:dyDescent="0.25"/>
    <row r="3439" ht="19.7" customHeight="1" x14ac:dyDescent="0.25"/>
    <row r="3440" ht="19.7" customHeight="1" x14ac:dyDescent="0.25"/>
    <row r="3441" ht="19.7" customHeight="1" x14ac:dyDescent="0.25"/>
    <row r="3442" ht="19.7" customHeight="1" x14ac:dyDescent="0.25"/>
    <row r="3443" ht="19.7" customHeight="1" x14ac:dyDescent="0.25"/>
    <row r="3444" ht="19.7" customHeight="1" x14ac:dyDescent="0.25"/>
    <row r="3445" ht="19.7" customHeight="1" x14ac:dyDescent="0.25"/>
    <row r="3446" ht="19.7" customHeight="1" x14ac:dyDescent="0.25"/>
    <row r="3447" ht="19.7" customHeight="1" x14ac:dyDescent="0.25"/>
    <row r="3448" ht="19.7" customHeight="1" x14ac:dyDescent="0.25"/>
    <row r="3449" ht="19.7" customHeight="1" x14ac:dyDescent="0.25"/>
    <row r="3450" ht="19.7" customHeight="1" x14ac:dyDescent="0.25"/>
    <row r="3451" ht="19.7" customHeight="1" x14ac:dyDescent="0.25"/>
    <row r="3452" ht="19.7" customHeight="1" x14ac:dyDescent="0.25"/>
    <row r="3453" ht="19.7" customHeight="1" x14ac:dyDescent="0.25"/>
    <row r="3454" ht="19.7" customHeight="1" x14ac:dyDescent="0.25"/>
    <row r="3455" ht="19.7" customHeight="1" x14ac:dyDescent="0.25"/>
    <row r="3456" ht="19.7" customHeight="1" x14ac:dyDescent="0.25"/>
    <row r="3457" ht="19.7" customHeight="1" x14ac:dyDescent="0.25"/>
    <row r="3458" ht="19.7" customHeight="1" x14ac:dyDescent="0.25"/>
    <row r="3459" ht="19.7" customHeight="1" x14ac:dyDescent="0.25"/>
    <row r="3460" ht="19.7" customHeight="1" x14ac:dyDescent="0.25"/>
    <row r="3461" ht="19.7" customHeight="1" x14ac:dyDescent="0.25"/>
    <row r="3462" ht="19.7" customHeight="1" x14ac:dyDescent="0.25"/>
    <row r="3463" ht="19.7" customHeight="1" x14ac:dyDescent="0.25"/>
    <row r="3464" ht="19.7" customHeight="1" x14ac:dyDescent="0.25"/>
    <row r="3465" ht="19.7" customHeight="1" x14ac:dyDescent="0.25"/>
    <row r="3466" ht="19.7" customHeight="1" x14ac:dyDescent="0.25"/>
    <row r="3467" ht="19.7" customHeight="1" x14ac:dyDescent="0.25"/>
    <row r="3468" ht="19.7" customHeight="1" x14ac:dyDescent="0.25"/>
    <row r="3469" ht="19.7" customHeight="1" x14ac:dyDescent="0.25"/>
    <row r="3470" ht="19.7" customHeight="1" x14ac:dyDescent="0.25"/>
    <row r="3471" ht="19.7" customHeight="1" x14ac:dyDescent="0.25"/>
    <row r="3472" ht="19.7" customHeight="1" x14ac:dyDescent="0.25"/>
    <row r="3473" ht="19.7" customHeight="1" x14ac:dyDescent="0.25"/>
    <row r="3474" ht="19.7" customHeight="1" x14ac:dyDescent="0.25"/>
    <row r="3475" ht="19.7" customHeight="1" x14ac:dyDescent="0.25"/>
    <row r="3476" ht="19.7" customHeight="1" x14ac:dyDescent="0.25"/>
    <row r="3477" ht="19.7" customHeight="1" x14ac:dyDescent="0.25"/>
    <row r="3478" ht="19.7" customHeight="1" x14ac:dyDescent="0.25"/>
    <row r="3479" ht="19.7" customHeight="1" x14ac:dyDescent="0.25"/>
    <row r="3480" ht="19.7" customHeight="1" x14ac:dyDescent="0.25"/>
    <row r="3481" ht="19.7" customHeight="1" x14ac:dyDescent="0.25"/>
    <row r="3482" ht="19.7" customHeight="1" x14ac:dyDescent="0.25"/>
    <row r="3483" ht="19.7" customHeight="1" x14ac:dyDescent="0.25"/>
    <row r="3484" ht="19.7" customHeight="1" x14ac:dyDescent="0.25"/>
    <row r="3485" ht="19.7" customHeight="1" x14ac:dyDescent="0.25"/>
    <row r="3486" ht="19.7" customHeight="1" x14ac:dyDescent="0.25"/>
    <row r="3487" ht="19.7" customHeight="1" x14ac:dyDescent="0.25"/>
    <row r="3488" ht="19.7" customHeight="1" x14ac:dyDescent="0.25"/>
    <row r="3489" ht="19.7" customHeight="1" x14ac:dyDescent="0.25"/>
    <row r="3490" ht="19.7" customHeight="1" x14ac:dyDescent="0.25"/>
    <row r="3491" ht="19.7" customHeight="1" x14ac:dyDescent="0.25"/>
    <row r="3492" ht="19.7" customHeight="1" x14ac:dyDescent="0.25"/>
    <row r="3493" ht="19.7" customHeight="1" x14ac:dyDescent="0.25"/>
    <row r="3494" ht="19.7" customHeight="1" x14ac:dyDescent="0.25"/>
    <row r="3495" ht="19.7" customHeight="1" x14ac:dyDescent="0.25"/>
    <row r="3496" ht="19.7" customHeight="1" x14ac:dyDescent="0.25"/>
    <row r="3497" ht="19.7" customHeight="1" x14ac:dyDescent="0.25"/>
    <row r="3498" ht="19.7" customHeight="1" x14ac:dyDescent="0.25"/>
    <row r="3499" ht="19.7" customHeight="1" x14ac:dyDescent="0.25"/>
    <row r="3500" ht="19.7" customHeight="1" x14ac:dyDescent="0.25"/>
    <row r="3501" ht="19.7" customHeight="1" x14ac:dyDescent="0.25"/>
    <row r="3502" ht="19.7" customHeight="1" x14ac:dyDescent="0.25"/>
    <row r="3503" ht="19.7" customHeight="1" x14ac:dyDescent="0.25"/>
    <row r="3504" ht="19.7" customHeight="1" x14ac:dyDescent="0.25"/>
    <row r="3505" ht="19.7" customHeight="1" x14ac:dyDescent="0.25"/>
    <row r="3506" ht="19.7" customHeight="1" x14ac:dyDescent="0.25"/>
    <row r="3507" ht="19.7" customHeight="1" x14ac:dyDescent="0.25"/>
    <row r="3508" ht="19.7" customHeight="1" x14ac:dyDescent="0.25"/>
    <row r="3509" ht="19.7" customHeight="1" x14ac:dyDescent="0.25"/>
    <row r="3510" ht="19.7" customHeight="1" x14ac:dyDescent="0.25"/>
    <row r="3511" ht="19.7" customHeight="1" x14ac:dyDescent="0.25"/>
    <row r="3512" ht="19.7" customHeight="1" x14ac:dyDescent="0.25"/>
    <row r="3513" ht="19.7" customHeight="1" x14ac:dyDescent="0.25"/>
    <row r="3514" ht="19.7" customHeight="1" x14ac:dyDescent="0.25"/>
    <row r="3515" ht="19.7" customHeight="1" x14ac:dyDescent="0.25"/>
    <row r="3516" ht="19.7" customHeight="1" x14ac:dyDescent="0.25"/>
    <row r="3517" ht="19.7" customHeight="1" x14ac:dyDescent="0.25"/>
    <row r="3518" ht="19.7" customHeight="1" x14ac:dyDescent="0.25"/>
    <row r="3519" ht="19.7" customHeight="1" x14ac:dyDescent="0.25"/>
    <row r="3520" ht="19.7" customHeight="1" x14ac:dyDescent="0.25"/>
    <row r="3521" ht="19.7" customHeight="1" x14ac:dyDescent="0.25"/>
    <row r="3522" ht="19.7" customHeight="1" x14ac:dyDescent="0.25"/>
    <row r="3523" ht="19.7" customHeight="1" x14ac:dyDescent="0.25"/>
    <row r="3524" ht="19.7" customHeight="1" x14ac:dyDescent="0.25"/>
    <row r="3525" ht="19.7" customHeight="1" x14ac:dyDescent="0.25"/>
    <row r="3526" ht="19.7" customHeight="1" x14ac:dyDescent="0.25"/>
    <row r="3527" ht="19.7" customHeight="1" x14ac:dyDescent="0.25"/>
    <row r="3528" ht="19.7" customHeight="1" x14ac:dyDescent="0.25"/>
    <row r="3529" ht="19.7" customHeight="1" x14ac:dyDescent="0.25"/>
    <row r="3530" ht="19.7" customHeight="1" x14ac:dyDescent="0.25"/>
    <row r="3531" ht="19.7" customHeight="1" x14ac:dyDescent="0.25"/>
    <row r="3532" ht="19.7" customHeight="1" x14ac:dyDescent="0.25"/>
    <row r="3533" ht="19.7" customHeight="1" x14ac:dyDescent="0.25"/>
    <row r="3534" ht="19.7" customHeight="1" x14ac:dyDescent="0.25"/>
    <row r="3535" ht="19.7" customHeight="1" x14ac:dyDescent="0.25"/>
    <row r="3536" ht="19.7" customHeight="1" x14ac:dyDescent="0.25"/>
    <row r="3537" ht="19.7" customHeight="1" x14ac:dyDescent="0.25"/>
    <row r="3538" ht="19.7" customHeight="1" x14ac:dyDescent="0.25"/>
    <row r="3539" ht="19.7" customHeight="1" x14ac:dyDescent="0.25"/>
    <row r="3540" ht="19.7" customHeight="1" x14ac:dyDescent="0.25"/>
    <row r="3541" ht="19.7" customHeight="1" x14ac:dyDescent="0.25"/>
    <row r="3542" ht="19.7" customHeight="1" x14ac:dyDescent="0.25"/>
    <row r="3543" ht="19.7" customHeight="1" x14ac:dyDescent="0.25"/>
    <row r="3544" ht="19.7" customHeight="1" x14ac:dyDescent="0.25"/>
    <row r="3545" ht="19.7" customHeight="1" x14ac:dyDescent="0.25"/>
    <row r="3546" ht="19.7" customHeight="1" x14ac:dyDescent="0.25"/>
    <row r="3547" ht="19.7" customHeight="1" x14ac:dyDescent="0.25"/>
    <row r="3548" ht="19.7" customHeight="1" x14ac:dyDescent="0.25"/>
    <row r="3549" ht="19.7" customHeight="1" x14ac:dyDescent="0.25"/>
    <row r="3550" ht="19.7" customHeight="1" x14ac:dyDescent="0.25"/>
    <row r="3551" ht="19.7" customHeight="1" x14ac:dyDescent="0.25"/>
    <row r="3552" ht="19.7" customHeight="1" x14ac:dyDescent="0.25"/>
    <row r="3553" ht="19.7" customHeight="1" x14ac:dyDescent="0.25"/>
    <row r="3554" ht="19.7" customHeight="1" x14ac:dyDescent="0.25"/>
    <row r="3555" ht="19.7" customHeight="1" x14ac:dyDescent="0.25"/>
    <row r="3556" ht="19.7" customHeight="1" x14ac:dyDescent="0.25"/>
    <row r="3557" ht="19.7" customHeight="1" x14ac:dyDescent="0.25"/>
    <row r="3558" ht="19.7" customHeight="1" x14ac:dyDescent="0.25"/>
    <row r="3559" ht="19.7" customHeight="1" x14ac:dyDescent="0.25"/>
    <row r="3560" ht="19.7" customHeight="1" x14ac:dyDescent="0.25"/>
    <row r="3561" ht="19.7" customHeight="1" x14ac:dyDescent="0.25"/>
    <row r="3562" ht="19.7" customHeight="1" x14ac:dyDescent="0.25"/>
    <row r="3563" ht="19.7" customHeight="1" x14ac:dyDescent="0.25"/>
    <row r="3564" ht="19.7" customHeight="1" x14ac:dyDescent="0.25"/>
    <row r="3565" ht="19.7" customHeight="1" x14ac:dyDescent="0.25"/>
    <row r="3566" ht="19.7" customHeight="1" x14ac:dyDescent="0.25"/>
    <row r="3567" ht="19.7" customHeight="1" x14ac:dyDescent="0.25"/>
    <row r="3568" ht="19.7" customHeight="1" x14ac:dyDescent="0.25"/>
    <row r="3569" ht="19.7" customHeight="1" x14ac:dyDescent="0.25"/>
    <row r="3570" ht="19.7" customHeight="1" x14ac:dyDescent="0.25"/>
    <row r="3571" ht="19.7" customHeight="1" x14ac:dyDescent="0.25"/>
    <row r="3572" ht="19.7" customHeight="1" x14ac:dyDescent="0.25"/>
    <row r="3573" ht="19.7" customHeight="1" x14ac:dyDescent="0.25"/>
    <row r="3574" ht="19.7" customHeight="1" x14ac:dyDescent="0.25"/>
    <row r="3575" ht="19.7" customHeight="1" x14ac:dyDescent="0.25"/>
    <row r="3576" ht="19.7" customHeight="1" x14ac:dyDescent="0.25"/>
    <row r="3577" ht="19.7" customHeight="1" x14ac:dyDescent="0.25"/>
    <row r="3578" ht="19.7" customHeight="1" x14ac:dyDescent="0.25"/>
    <row r="3579" ht="19.7" customHeight="1" x14ac:dyDescent="0.25"/>
    <row r="3580" ht="19.7" customHeight="1" x14ac:dyDescent="0.25"/>
    <row r="3581" ht="19.7" customHeight="1" x14ac:dyDescent="0.25"/>
    <row r="3582" ht="19.7" customHeight="1" x14ac:dyDescent="0.25"/>
    <row r="3583" ht="19.7" customHeight="1" x14ac:dyDescent="0.25"/>
    <row r="3584" ht="19.7" customHeight="1" x14ac:dyDescent="0.25"/>
    <row r="3585" ht="19.7" customHeight="1" x14ac:dyDescent="0.25"/>
    <row r="3586" ht="19.7" customHeight="1" x14ac:dyDescent="0.25"/>
    <row r="3587" ht="19.7" customHeight="1" x14ac:dyDescent="0.25"/>
    <row r="3588" ht="19.7" customHeight="1" x14ac:dyDescent="0.25"/>
    <row r="3589" ht="19.7" customHeight="1" x14ac:dyDescent="0.25"/>
    <row r="3590" ht="19.7" customHeight="1" x14ac:dyDescent="0.25"/>
    <row r="3591" ht="19.7" customHeight="1" x14ac:dyDescent="0.25"/>
    <row r="3592" ht="19.7" customHeight="1" x14ac:dyDescent="0.25"/>
    <row r="3593" ht="19.7" customHeight="1" x14ac:dyDescent="0.25"/>
    <row r="3594" ht="19.7" customHeight="1" x14ac:dyDescent="0.25"/>
    <row r="3595" ht="19.7" customHeight="1" x14ac:dyDescent="0.25"/>
    <row r="3596" ht="19.7" customHeight="1" x14ac:dyDescent="0.25"/>
    <row r="3597" ht="19.7" customHeight="1" x14ac:dyDescent="0.25"/>
    <row r="3598" ht="19.7" customHeight="1" x14ac:dyDescent="0.25"/>
    <row r="3599" ht="19.7" customHeight="1" x14ac:dyDescent="0.25"/>
    <row r="3600" ht="19.7" customHeight="1" x14ac:dyDescent="0.25"/>
    <row r="3601" ht="19.7" customHeight="1" x14ac:dyDescent="0.25"/>
    <row r="3602" ht="19.7" customHeight="1" x14ac:dyDescent="0.25"/>
    <row r="3603" ht="19.7" customHeight="1" x14ac:dyDescent="0.25"/>
    <row r="3604" ht="19.7" customHeight="1" x14ac:dyDescent="0.25"/>
    <row r="3605" ht="19.7" customHeight="1" x14ac:dyDescent="0.25"/>
    <row r="3606" ht="19.7" customHeight="1" x14ac:dyDescent="0.25"/>
    <row r="3607" ht="19.7" customHeight="1" x14ac:dyDescent="0.25"/>
    <row r="3608" ht="19.7" customHeight="1" x14ac:dyDescent="0.25"/>
    <row r="3609" ht="19.7" customHeight="1" x14ac:dyDescent="0.25"/>
    <row r="3610" ht="19.7" customHeight="1" x14ac:dyDescent="0.25"/>
    <row r="3611" ht="19.7" customHeight="1" x14ac:dyDescent="0.25"/>
    <row r="3612" ht="19.7" customHeight="1" x14ac:dyDescent="0.25"/>
    <row r="3613" ht="19.7" customHeight="1" x14ac:dyDescent="0.25"/>
    <row r="3614" ht="19.7" customHeight="1" x14ac:dyDescent="0.25"/>
    <row r="3615" ht="19.7" customHeight="1" x14ac:dyDescent="0.25"/>
    <row r="3616" ht="19.7" customHeight="1" x14ac:dyDescent="0.25"/>
    <row r="3617" ht="19.7" customHeight="1" x14ac:dyDescent="0.25"/>
    <row r="3618" ht="19.7" customHeight="1" x14ac:dyDescent="0.25"/>
    <row r="3619" ht="19.7" customHeight="1" x14ac:dyDescent="0.25"/>
    <row r="3620" ht="19.7" customHeight="1" x14ac:dyDescent="0.25"/>
    <row r="3621" ht="19.7" customHeight="1" x14ac:dyDescent="0.25"/>
    <row r="3622" ht="19.7" customHeight="1" x14ac:dyDescent="0.25"/>
    <row r="3623" ht="19.7" customHeight="1" x14ac:dyDescent="0.25"/>
    <row r="3624" ht="19.7" customHeight="1" x14ac:dyDescent="0.25"/>
    <row r="3625" ht="19.7" customHeight="1" x14ac:dyDescent="0.25"/>
    <row r="3626" ht="19.7" customHeight="1" x14ac:dyDescent="0.25"/>
    <row r="3627" ht="19.7" customHeight="1" x14ac:dyDescent="0.25"/>
    <row r="3628" ht="19.7" customHeight="1" x14ac:dyDescent="0.25"/>
    <row r="3629" ht="19.7" customHeight="1" x14ac:dyDescent="0.25"/>
    <row r="3630" ht="19.7" customHeight="1" x14ac:dyDescent="0.25"/>
    <row r="3631" ht="19.7" customHeight="1" x14ac:dyDescent="0.25"/>
    <row r="3632" ht="19.7" customHeight="1" x14ac:dyDescent="0.25"/>
    <row r="3633" ht="19.7" customHeight="1" x14ac:dyDescent="0.25"/>
    <row r="3634" ht="19.7" customHeight="1" x14ac:dyDescent="0.25"/>
    <row r="3635" ht="19.7" customHeight="1" x14ac:dyDescent="0.25"/>
    <row r="3636" ht="19.7" customHeight="1" x14ac:dyDescent="0.25"/>
    <row r="3637" ht="19.7" customHeight="1" x14ac:dyDescent="0.25"/>
    <row r="3638" ht="19.7" customHeight="1" x14ac:dyDescent="0.25"/>
    <row r="3639" ht="19.7" customHeight="1" x14ac:dyDescent="0.25"/>
    <row r="3640" ht="19.7" customHeight="1" x14ac:dyDescent="0.25"/>
    <row r="3641" ht="19.7" customHeight="1" x14ac:dyDescent="0.25"/>
    <row r="3642" ht="19.7" customHeight="1" x14ac:dyDescent="0.25"/>
    <row r="3643" ht="19.7" customHeight="1" x14ac:dyDescent="0.25"/>
    <row r="3644" ht="19.7" customHeight="1" x14ac:dyDescent="0.25"/>
    <row r="3645" ht="19.7" customHeight="1" x14ac:dyDescent="0.25"/>
    <row r="3646" ht="19.7" customHeight="1" x14ac:dyDescent="0.25"/>
    <row r="3647" ht="19.7" customHeight="1" x14ac:dyDescent="0.25"/>
    <row r="3648" ht="19.7" customHeight="1" x14ac:dyDescent="0.25"/>
    <row r="3649" ht="19.7" customHeight="1" x14ac:dyDescent="0.25"/>
    <row r="3650" ht="19.7" customHeight="1" x14ac:dyDescent="0.25"/>
    <row r="3651" ht="19.7" customHeight="1" x14ac:dyDescent="0.25"/>
    <row r="3652" ht="19.7" customHeight="1" x14ac:dyDescent="0.25"/>
    <row r="3653" ht="19.7" customHeight="1" x14ac:dyDescent="0.25"/>
    <row r="3654" ht="19.7" customHeight="1" x14ac:dyDescent="0.25"/>
    <row r="3655" ht="19.7" customHeight="1" x14ac:dyDescent="0.25"/>
    <row r="3656" ht="19.7" customHeight="1" x14ac:dyDescent="0.25"/>
    <row r="3657" ht="19.7" customHeight="1" x14ac:dyDescent="0.25"/>
    <row r="3658" ht="19.7" customHeight="1" x14ac:dyDescent="0.25"/>
    <row r="3659" ht="19.7" customHeight="1" x14ac:dyDescent="0.25"/>
    <row r="3660" ht="19.7" customHeight="1" x14ac:dyDescent="0.25"/>
    <row r="3661" ht="19.7" customHeight="1" x14ac:dyDescent="0.25"/>
    <row r="3662" ht="19.7" customHeight="1" x14ac:dyDescent="0.25"/>
    <row r="3663" ht="19.7" customHeight="1" x14ac:dyDescent="0.25"/>
    <row r="3664" ht="19.7" customHeight="1" x14ac:dyDescent="0.25"/>
    <row r="3665" ht="19.7" customHeight="1" x14ac:dyDescent="0.25"/>
    <row r="3666" ht="19.7" customHeight="1" x14ac:dyDescent="0.25"/>
    <row r="3667" ht="19.7" customHeight="1" x14ac:dyDescent="0.25"/>
    <row r="3668" ht="19.7" customHeight="1" x14ac:dyDescent="0.25"/>
    <row r="3669" ht="19.7" customHeight="1" x14ac:dyDescent="0.25"/>
    <row r="3670" ht="19.7" customHeight="1" x14ac:dyDescent="0.25"/>
    <row r="3671" ht="19.7" customHeight="1" x14ac:dyDescent="0.25"/>
    <row r="3672" ht="19.7" customHeight="1" x14ac:dyDescent="0.25"/>
    <row r="3673" ht="19.7" customHeight="1" x14ac:dyDescent="0.25"/>
    <row r="3674" ht="19.7" customHeight="1" x14ac:dyDescent="0.25"/>
    <row r="3675" ht="19.7" customHeight="1" x14ac:dyDescent="0.25"/>
    <row r="3676" ht="19.7" customHeight="1" x14ac:dyDescent="0.25"/>
    <row r="3677" ht="19.7" customHeight="1" x14ac:dyDescent="0.25"/>
    <row r="3678" ht="19.7" customHeight="1" x14ac:dyDescent="0.25"/>
    <row r="3679" ht="19.7" customHeight="1" x14ac:dyDescent="0.25"/>
    <row r="3680" ht="19.7" customHeight="1" x14ac:dyDescent="0.25"/>
    <row r="3681" ht="19.7" customHeight="1" x14ac:dyDescent="0.25"/>
    <row r="3682" ht="19.7" customHeight="1" x14ac:dyDescent="0.25"/>
    <row r="3683" ht="19.7" customHeight="1" x14ac:dyDescent="0.25"/>
    <row r="3684" ht="19.7" customHeight="1" x14ac:dyDescent="0.25"/>
    <row r="3685" ht="19.7" customHeight="1" x14ac:dyDescent="0.25"/>
    <row r="3686" ht="19.7" customHeight="1" x14ac:dyDescent="0.25"/>
    <row r="3687" ht="19.7" customHeight="1" x14ac:dyDescent="0.25"/>
    <row r="3688" ht="19.7" customHeight="1" x14ac:dyDescent="0.25"/>
    <row r="3689" ht="19.7" customHeight="1" x14ac:dyDescent="0.25"/>
    <row r="3690" ht="19.7" customHeight="1" x14ac:dyDescent="0.25"/>
    <row r="3691" ht="19.7" customHeight="1" x14ac:dyDescent="0.25"/>
    <row r="3692" ht="19.7" customHeight="1" x14ac:dyDescent="0.25"/>
    <row r="3693" ht="19.7" customHeight="1" x14ac:dyDescent="0.25"/>
    <row r="3694" ht="19.7" customHeight="1" x14ac:dyDescent="0.25"/>
    <row r="3695" ht="19.7" customHeight="1" x14ac:dyDescent="0.25"/>
    <row r="3696" ht="19.7" customHeight="1" x14ac:dyDescent="0.25"/>
    <row r="3697" ht="19.7" customHeight="1" x14ac:dyDescent="0.25"/>
    <row r="3698" ht="19.7" customHeight="1" x14ac:dyDescent="0.25"/>
    <row r="3699" ht="19.7" customHeight="1" x14ac:dyDescent="0.25"/>
    <row r="3700" ht="19.7" customHeight="1" x14ac:dyDescent="0.25"/>
    <row r="3701" ht="19.7" customHeight="1" x14ac:dyDescent="0.25"/>
    <row r="3702" ht="19.7" customHeight="1" x14ac:dyDescent="0.25"/>
    <row r="3703" ht="19.7" customHeight="1" x14ac:dyDescent="0.25"/>
    <row r="3704" ht="19.7" customHeight="1" x14ac:dyDescent="0.25"/>
    <row r="3705" ht="19.7" customHeight="1" x14ac:dyDescent="0.25"/>
    <row r="3706" ht="19.7" customHeight="1" x14ac:dyDescent="0.25"/>
    <row r="3707" ht="19.7" customHeight="1" x14ac:dyDescent="0.25"/>
    <row r="3708" ht="19.7" customHeight="1" x14ac:dyDescent="0.25"/>
    <row r="3709" ht="19.7" customHeight="1" x14ac:dyDescent="0.25"/>
    <row r="3710" ht="19.7" customHeight="1" x14ac:dyDescent="0.25"/>
    <row r="3711" ht="19.7" customHeight="1" x14ac:dyDescent="0.25"/>
    <row r="3712" ht="19.7" customHeight="1" x14ac:dyDescent="0.25"/>
    <row r="3713" ht="19.7" customHeight="1" x14ac:dyDescent="0.25"/>
    <row r="3714" ht="19.7" customHeight="1" x14ac:dyDescent="0.25"/>
    <row r="3715" ht="19.7" customHeight="1" x14ac:dyDescent="0.25"/>
    <row r="3716" ht="19.7" customHeight="1" x14ac:dyDescent="0.25"/>
    <row r="3717" ht="19.7" customHeight="1" x14ac:dyDescent="0.25"/>
    <row r="3718" ht="19.7" customHeight="1" x14ac:dyDescent="0.25"/>
    <row r="3719" ht="19.7" customHeight="1" x14ac:dyDescent="0.25"/>
    <row r="3720" ht="19.7" customHeight="1" x14ac:dyDescent="0.25"/>
    <row r="3721" ht="19.7" customHeight="1" x14ac:dyDescent="0.25"/>
    <row r="3722" ht="19.7" customHeight="1" x14ac:dyDescent="0.25"/>
    <row r="3723" ht="19.7" customHeight="1" x14ac:dyDescent="0.25"/>
    <row r="3724" ht="19.7" customHeight="1" x14ac:dyDescent="0.25"/>
    <row r="3725" ht="19.7" customHeight="1" x14ac:dyDescent="0.25"/>
    <row r="3726" ht="19.7" customHeight="1" x14ac:dyDescent="0.25"/>
    <row r="3727" ht="19.7" customHeight="1" x14ac:dyDescent="0.25"/>
    <row r="3728" ht="19.7" customHeight="1" x14ac:dyDescent="0.25"/>
    <row r="3729" ht="19.7" customHeight="1" x14ac:dyDescent="0.25"/>
    <row r="3730" ht="19.7" customHeight="1" x14ac:dyDescent="0.25"/>
    <row r="3731" ht="19.7" customHeight="1" x14ac:dyDescent="0.25"/>
    <row r="3732" ht="19.7" customHeight="1" x14ac:dyDescent="0.25"/>
    <row r="3733" ht="19.7" customHeight="1" x14ac:dyDescent="0.25"/>
    <row r="3734" ht="19.7" customHeight="1" x14ac:dyDescent="0.25"/>
    <row r="3735" ht="19.7" customHeight="1" x14ac:dyDescent="0.25"/>
    <row r="3736" ht="19.7" customHeight="1" x14ac:dyDescent="0.25"/>
    <row r="3737" ht="19.7" customHeight="1" x14ac:dyDescent="0.25"/>
    <row r="3738" ht="19.7" customHeight="1" x14ac:dyDescent="0.25"/>
    <row r="3739" ht="19.7" customHeight="1" x14ac:dyDescent="0.25"/>
    <row r="3740" ht="19.7" customHeight="1" x14ac:dyDescent="0.25"/>
    <row r="3741" ht="19.7" customHeight="1" x14ac:dyDescent="0.25"/>
    <row r="3742" ht="19.7" customHeight="1" x14ac:dyDescent="0.25"/>
    <row r="3743" ht="19.7" customHeight="1" x14ac:dyDescent="0.25"/>
    <row r="3744" ht="19.7" customHeight="1" x14ac:dyDescent="0.25"/>
    <row r="3745" ht="19.7" customHeight="1" x14ac:dyDescent="0.25"/>
    <row r="3746" ht="19.7" customHeight="1" x14ac:dyDescent="0.25"/>
    <row r="3747" ht="19.7" customHeight="1" x14ac:dyDescent="0.25"/>
    <row r="3748" ht="19.7" customHeight="1" x14ac:dyDescent="0.25"/>
    <row r="3749" ht="19.7" customHeight="1" x14ac:dyDescent="0.25"/>
    <row r="3750" ht="19.7" customHeight="1" x14ac:dyDescent="0.25"/>
    <row r="3751" ht="19.7" customHeight="1" x14ac:dyDescent="0.25"/>
    <row r="3752" ht="19.7" customHeight="1" x14ac:dyDescent="0.25"/>
    <row r="3753" ht="19.7" customHeight="1" x14ac:dyDescent="0.25"/>
    <row r="3754" ht="19.7" customHeight="1" x14ac:dyDescent="0.25"/>
    <row r="3755" ht="19.7" customHeight="1" x14ac:dyDescent="0.25"/>
    <row r="3756" ht="19.7" customHeight="1" x14ac:dyDescent="0.25"/>
    <row r="3757" ht="19.7" customHeight="1" x14ac:dyDescent="0.25"/>
    <row r="3758" ht="19.7" customHeight="1" x14ac:dyDescent="0.25"/>
    <row r="3759" ht="19.7" customHeight="1" x14ac:dyDescent="0.25"/>
    <row r="3760" ht="19.7" customHeight="1" x14ac:dyDescent="0.25"/>
    <row r="3761" ht="19.7" customHeight="1" x14ac:dyDescent="0.25"/>
    <row r="3762" ht="19.7" customHeight="1" x14ac:dyDescent="0.25"/>
    <row r="3763" ht="19.7" customHeight="1" x14ac:dyDescent="0.25"/>
    <row r="3764" ht="19.7" customHeight="1" x14ac:dyDescent="0.25"/>
    <row r="3765" ht="19.7" customHeight="1" x14ac:dyDescent="0.25"/>
    <row r="3766" ht="19.7" customHeight="1" x14ac:dyDescent="0.25"/>
    <row r="3767" ht="19.7" customHeight="1" x14ac:dyDescent="0.25"/>
    <row r="3768" ht="19.7" customHeight="1" x14ac:dyDescent="0.25"/>
    <row r="3769" ht="19.7" customHeight="1" x14ac:dyDescent="0.25"/>
    <row r="3770" ht="19.7" customHeight="1" x14ac:dyDescent="0.25"/>
    <row r="3771" ht="19.7" customHeight="1" x14ac:dyDescent="0.25"/>
    <row r="3772" ht="19.7" customHeight="1" x14ac:dyDescent="0.25"/>
    <row r="3773" ht="19.7" customHeight="1" x14ac:dyDescent="0.25"/>
    <row r="3774" ht="19.7" customHeight="1" x14ac:dyDescent="0.25"/>
    <row r="3775" ht="19.7" customHeight="1" x14ac:dyDescent="0.25"/>
    <row r="3776" ht="19.7" customHeight="1" x14ac:dyDescent="0.25"/>
    <row r="3777" ht="19.7" customHeight="1" x14ac:dyDescent="0.25"/>
    <row r="3778" ht="19.7" customHeight="1" x14ac:dyDescent="0.25"/>
    <row r="3779" ht="19.7" customHeight="1" x14ac:dyDescent="0.25"/>
    <row r="3780" ht="19.7" customHeight="1" x14ac:dyDescent="0.25"/>
    <row r="3781" ht="19.7" customHeight="1" x14ac:dyDescent="0.25"/>
    <row r="3782" ht="19.7" customHeight="1" x14ac:dyDescent="0.25"/>
    <row r="3783" ht="19.7" customHeight="1" x14ac:dyDescent="0.25"/>
    <row r="3784" ht="19.7" customHeight="1" x14ac:dyDescent="0.25"/>
    <row r="3785" ht="19.7" customHeight="1" x14ac:dyDescent="0.25"/>
    <row r="3786" ht="19.7" customHeight="1" x14ac:dyDescent="0.25"/>
    <row r="3787" ht="19.7" customHeight="1" x14ac:dyDescent="0.25"/>
    <row r="3788" ht="19.7" customHeight="1" x14ac:dyDescent="0.25"/>
    <row r="3789" ht="19.7" customHeight="1" x14ac:dyDescent="0.25"/>
    <row r="3790" ht="19.7" customHeight="1" x14ac:dyDescent="0.25"/>
    <row r="3791" ht="19.7" customHeight="1" x14ac:dyDescent="0.25"/>
    <row r="3792" ht="19.7" customHeight="1" x14ac:dyDescent="0.25"/>
    <row r="3793" ht="19.7" customHeight="1" x14ac:dyDescent="0.25"/>
    <row r="3794" ht="19.7" customHeight="1" x14ac:dyDescent="0.25"/>
    <row r="3795" ht="19.7" customHeight="1" x14ac:dyDescent="0.25"/>
    <row r="3796" ht="19.7" customHeight="1" x14ac:dyDescent="0.25"/>
    <row r="3797" ht="19.7" customHeight="1" x14ac:dyDescent="0.25"/>
    <row r="3798" ht="19.7" customHeight="1" x14ac:dyDescent="0.25"/>
    <row r="3799" ht="19.7" customHeight="1" x14ac:dyDescent="0.25"/>
    <row r="3800" ht="19.7" customHeight="1" x14ac:dyDescent="0.25"/>
    <row r="3801" ht="19.7" customHeight="1" x14ac:dyDescent="0.25"/>
    <row r="3802" ht="19.7" customHeight="1" x14ac:dyDescent="0.25"/>
    <row r="3803" ht="19.7" customHeight="1" x14ac:dyDescent="0.25"/>
    <row r="3804" ht="19.7" customHeight="1" x14ac:dyDescent="0.25"/>
    <row r="3805" ht="19.7" customHeight="1" x14ac:dyDescent="0.25"/>
    <row r="3806" ht="19.7" customHeight="1" x14ac:dyDescent="0.25"/>
    <row r="3807" ht="19.7" customHeight="1" x14ac:dyDescent="0.25"/>
    <row r="3808" ht="19.7" customHeight="1" x14ac:dyDescent="0.25"/>
    <row r="3809" ht="19.7" customHeight="1" x14ac:dyDescent="0.25"/>
    <row r="3810" ht="19.7" customHeight="1" x14ac:dyDescent="0.25"/>
    <row r="3811" ht="19.7" customHeight="1" x14ac:dyDescent="0.25"/>
    <row r="3812" ht="19.7" customHeight="1" x14ac:dyDescent="0.25"/>
    <row r="3813" ht="19.7" customHeight="1" x14ac:dyDescent="0.25"/>
    <row r="3814" ht="19.7" customHeight="1" x14ac:dyDescent="0.25"/>
    <row r="3815" ht="19.7" customHeight="1" x14ac:dyDescent="0.25"/>
    <row r="3816" ht="19.7" customHeight="1" x14ac:dyDescent="0.25"/>
    <row r="3817" ht="19.7" customHeight="1" x14ac:dyDescent="0.25"/>
    <row r="3818" ht="19.7" customHeight="1" x14ac:dyDescent="0.25"/>
    <row r="3819" ht="19.7" customHeight="1" x14ac:dyDescent="0.25"/>
    <row r="3820" ht="19.7" customHeight="1" x14ac:dyDescent="0.25"/>
    <row r="3821" ht="19.7" customHeight="1" x14ac:dyDescent="0.25"/>
    <row r="3822" ht="19.7" customHeight="1" x14ac:dyDescent="0.25"/>
    <row r="3823" ht="19.7" customHeight="1" x14ac:dyDescent="0.25"/>
    <row r="3824" ht="19.7" customHeight="1" x14ac:dyDescent="0.25"/>
    <row r="3825" ht="19.7" customHeight="1" x14ac:dyDescent="0.25"/>
    <row r="3826" ht="19.7" customHeight="1" x14ac:dyDescent="0.25"/>
    <row r="3827" ht="19.7" customHeight="1" x14ac:dyDescent="0.25"/>
    <row r="3828" ht="19.7" customHeight="1" x14ac:dyDescent="0.25"/>
    <row r="3829" ht="19.7" customHeight="1" x14ac:dyDescent="0.25"/>
    <row r="3830" ht="19.7" customHeight="1" x14ac:dyDescent="0.25"/>
    <row r="3831" ht="19.7" customHeight="1" x14ac:dyDescent="0.25"/>
    <row r="3832" ht="19.7" customHeight="1" x14ac:dyDescent="0.25"/>
    <row r="3833" ht="19.7" customHeight="1" x14ac:dyDescent="0.25"/>
    <row r="3834" ht="19.7" customHeight="1" x14ac:dyDescent="0.25"/>
    <row r="3835" ht="19.7" customHeight="1" x14ac:dyDescent="0.25"/>
    <row r="3836" ht="19.7" customHeight="1" x14ac:dyDescent="0.25"/>
    <row r="3837" ht="19.7" customHeight="1" x14ac:dyDescent="0.25"/>
    <row r="3838" ht="19.7" customHeight="1" x14ac:dyDescent="0.25"/>
    <row r="3839" ht="19.7" customHeight="1" x14ac:dyDescent="0.25"/>
    <row r="3840" ht="19.7" customHeight="1" x14ac:dyDescent="0.25"/>
    <row r="3841" ht="19.7" customHeight="1" x14ac:dyDescent="0.25"/>
    <row r="3842" ht="19.7" customHeight="1" x14ac:dyDescent="0.25"/>
    <row r="3843" ht="19.7" customHeight="1" x14ac:dyDescent="0.25"/>
    <row r="3844" ht="19.7" customHeight="1" x14ac:dyDescent="0.25"/>
    <row r="3845" ht="19.7" customHeight="1" x14ac:dyDescent="0.25"/>
    <row r="3846" ht="19.7" customHeight="1" x14ac:dyDescent="0.25"/>
    <row r="3847" ht="19.7" customHeight="1" x14ac:dyDescent="0.25"/>
    <row r="3848" ht="19.7" customHeight="1" x14ac:dyDescent="0.25"/>
    <row r="3849" ht="19.7" customHeight="1" x14ac:dyDescent="0.25"/>
    <row r="3850" ht="19.7" customHeight="1" x14ac:dyDescent="0.25"/>
    <row r="3851" ht="19.7" customHeight="1" x14ac:dyDescent="0.25"/>
    <row r="3852" ht="19.7" customHeight="1" x14ac:dyDescent="0.25"/>
    <row r="3853" ht="19.7" customHeight="1" x14ac:dyDescent="0.25"/>
    <row r="3854" ht="19.7" customHeight="1" x14ac:dyDescent="0.25"/>
    <row r="3855" ht="19.7" customHeight="1" x14ac:dyDescent="0.25"/>
    <row r="3856" ht="19.7" customHeight="1" x14ac:dyDescent="0.25"/>
    <row r="3857" ht="19.7" customHeight="1" x14ac:dyDescent="0.25"/>
    <row r="3858" ht="19.7" customHeight="1" x14ac:dyDescent="0.25"/>
    <row r="3859" ht="19.7" customHeight="1" x14ac:dyDescent="0.25"/>
    <row r="3860" ht="19.7" customHeight="1" x14ac:dyDescent="0.25"/>
    <row r="3861" ht="19.7" customHeight="1" x14ac:dyDescent="0.25"/>
    <row r="3862" ht="19.7" customHeight="1" x14ac:dyDescent="0.25"/>
    <row r="3863" ht="19.7" customHeight="1" x14ac:dyDescent="0.25"/>
    <row r="3864" ht="19.7" customHeight="1" x14ac:dyDescent="0.25"/>
    <row r="3865" ht="19.7" customHeight="1" x14ac:dyDescent="0.25"/>
    <row r="3866" ht="19.7" customHeight="1" x14ac:dyDescent="0.25"/>
    <row r="3867" ht="19.7" customHeight="1" x14ac:dyDescent="0.25"/>
    <row r="3868" ht="19.7" customHeight="1" x14ac:dyDescent="0.25"/>
    <row r="3869" ht="19.7" customHeight="1" x14ac:dyDescent="0.25"/>
    <row r="3870" ht="19.7" customHeight="1" x14ac:dyDescent="0.25"/>
    <row r="3871" ht="19.7" customHeight="1" x14ac:dyDescent="0.25"/>
    <row r="3872" ht="19.7" customHeight="1" x14ac:dyDescent="0.25"/>
    <row r="3873" ht="19.7" customHeight="1" x14ac:dyDescent="0.25"/>
    <row r="3874" ht="19.7" customHeight="1" x14ac:dyDescent="0.25"/>
    <row r="3875" ht="19.7" customHeight="1" x14ac:dyDescent="0.25"/>
    <row r="3876" ht="19.7" customHeight="1" x14ac:dyDescent="0.25"/>
    <row r="3877" ht="19.7" customHeight="1" x14ac:dyDescent="0.25"/>
    <row r="3878" ht="19.7" customHeight="1" x14ac:dyDescent="0.25"/>
    <row r="3879" ht="19.7" customHeight="1" x14ac:dyDescent="0.25"/>
    <row r="3880" ht="19.7" customHeight="1" x14ac:dyDescent="0.25"/>
    <row r="3881" ht="19.7" customHeight="1" x14ac:dyDescent="0.25"/>
    <row r="3882" ht="19.7" customHeight="1" x14ac:dyDescent="0.25"/>
    <row r="3883" ht="19.7" customHeight="1" x14ac:dyDescent="0.25"/>
    <row r="3884" ht="19.7" customHeight="1" x14ac:dyDescent="0.25"/>
    <row r="3885" ht="19.7" customHeight="1" x14ac:dyDescent="0.25"/>
    <row r="3886" ht="19.7" customHeight="1" x14ac:dyDescent="0.25"/>
    <row r="3887" ht="19.7" customHeight="1" x14ac:dyDescent="0.25"/>
    <row r="3888" ht="19.7" customHeight="1" x14ac:dyDescent="0.25"/>
    <row r="3889" ht="19.7" customHeight="1" x14ac:dyDescent="0.25"/>
    <row r="3890" ht="19.7" customHeight="1" x14ac:dyDescent="0.25"/>
    <row r="3891" ht="19.7" customHeight="1" x14ac:dyDescent="0.25"/>
    <row r="3892" ht="19.7" customHeight="1" x14ac:dyDescent="0.25"/>
    <row r="3893" ht="19.7" customHeight="1" x14ac:dyDescent="0.25"/>
    <row r="3894" ht="19.7" customHeight="1" x14ac:dyDescent="0.25"/>
    <row r="3895" ht="19.7" customHeight="1" x14ac:dyDescent="0.25"/>
    <row r="3896" ht="19.7" customHeight="1" x14ac:dyDescent="0.25"/>
    <row r="3897" ht="19.7" customHeight="1" x14ac:dyDescent="0.25"/>
    <row r="3898" ht="19.7" customHeight="1" x14ac:dyDescent="0.25"/>
    <row r="3899" ht="19.7" customHeight="1" x14ac:dyDescent="0.25"/>
    <row r="3900" ht="19.7" customHeight="1" x14ac:dyDescent="0.25"/>
    <row r="3901" ht="19.7" customHeight="1" x14ac:dyDescent="0.25"/>
    <row r="3902" ht="19.7" customHeight="1" x14ac:dyDescent="0.25"/>
    <row r="3903" ht="19.7" customHeight="1" x14ac:dyDescent="0.25"/>
    <row r="3904" ht="19.7" customHeight="1" x14ac:dyDescent="0.25"/>
    <row r="3905" ht="19.7" customHeight="1" x14ac:dyDescent="0.25"/>
    <row r="3906" ht="19.7" customHeight="1" x14ac:dyDescent="0.25"/>
    <row r="3907" ht="19.7" customHeight="1" x14ac:dyDescent="0.25"/>
    <row r="3908" ht="19.7" customHeight="1" x14ac:dyDescent="0.25"/>
    <row r="3909" ht="19.7" customHeight="1" x14ac:dyDescent="0.25"/>
    <row r="3910" ht="19.7" customHeight="1" x14ac:dyDescent="0.25"/>
    <row r="3911" ht="19.7" customHeight="1" x14ac:dyDescent="0.25"/>
    <row r="3912" ht="19.7" customHeight="1" x14ac:dyDescent="0.25"/>
    <row r="3913" ht="19.7" customHeight="1" x14ac:dyDescent="0.25"/>
    <row r="3914" ht="19.7" customHeight="1" x14ac:dyDescent="0.25"/>
    <row r="3915" ht="19.7" customHeight="1" x14ac:dyDescent="0.25"/>
    <row r="3916" ht="19.7" customHeight="1" x14ac:dyDescent="0.25"/>
    <row r="3917" ht="19.7" customHeight="1" x14ac:dyDescent="0.25"/>
    <row r="3918" ht="19.7" customHeight="1" x14ac:dyDescent="0.25"/>
    <row r="3919" ht="19.7" customHeight="1" x14ac:dyDescent="0.25"/>
    <row r="3920" ht="19.7" customHeight="1" x14ac:dyDescent="0.25"/>
    <row r="3921" ht="19.7" customHeight="1" x14ac:dyDescent="0.25"/>
    <row r="3922" ht="19.7" customHeight="1" x14ac:dyDescent="0.25"/>
    <row r="3923" ht="19.7" customHeight="1" x14ac:dyDescent="0.25"/>
    <row r="3924" ht="19.7" customHeight="1" x14ac:dyDescent="0.25"/>
    <row r="3925" ht="19.7" customHeight="1" x14ac:dyDescent="0.25"/>
    <row r="3926" ht="19.7" customHeight="1" x14ac:dyDescent="0.25"/>
    <row r="3927" ht="19.7" customHeight="1" x14ac:dyDescent="0.25"/>
    <row r="3928" ht="19.7" customHeight="1" x14ac:dyDescent="0.25"/>
    <row r="3929" ht="19.7" customHeight="1" x14ac:dyDescent="0.25"/>
    <row r="3930" ht="19.7" customHeight="1" x14ac:dyDescent="0.25"/>
    <row r="3931" ht="19.7" customHeight="1" x14ac:dyDescent="0.25"/>
    <row r="3932" ht="19.7" customHeight="1" x14ac:dyDescent="0.25"/>
    <row r="3933" ht="19.7" customHeight="1" x14ac:dyDescent="0.25"/>
    <row r="3934" ht="19.7" customHeight="1" x14ac:dyDescent="0.25"/>
    <row r="3935" ht="19.7" customHeight="1" x14ac:dyDescent="0.25"/>
    <row r="3936" ht="19.7" customHeight="1" x14ac:dyDescent="0.25"/>
    <row r="3937" ht="19.7" customHeight="1" x14ac:dyDescent="0.25"/>
    <row r="3938" ht="19.7" customHeight="1" x14ac:dyDescent="0.25"/>
    <row r="3939" ht="19.7" customHeight="1" x14ac:dyDescent="0.25"/>
    <row r="3940" ht="19.7" customHeight="1" x14ac:dyDescent="0.25"/>
    <row r="3941" ht="19.7" customHeight="1" x14ac:dyDescent="0.25"/>
    <row r="3942" ht="19.7" customHeight="1" x14ac:dyDescent="0.25"/>
    <row r="3943" ht="19.7" customHeight="1" x14ac:dyDescent="0.25"/>
    <row r="3944" ht="19.7" customHeight="1" x14ac:dyDescent="0.25"/>
    <row r="3945" ht="19.7" customHeight="1" x14ac:dyDescent="0.25"/>
    <row r="3946" ht="19.7" customHeight="1" x14ac:dyDescent="0.25"/>
    <row r="3947" ht="19.7" customHeight="1" x14ac:dyDescent="0.25"/>
    <row r="3948" ht="19.7" customHeight="1" x14ac:dyDescent="0.25"/>
    <row r="3949" ht="19.7" customHeight="1" x14ac:dyDescent="0.25"/>
    <row r="3950" ht="19.7" customHeight="1" x14ac:dyDescent="0.25"/>
    <row r="3951" ht="19.7" customHeight="1" x14ac:dyDescent="0.25"/>
    <row r="3952" ht="19.7" customHeight="1" x14ac:dyDescent="0.25"/>
    <row r="3953" ht="19.7" customHeight="1" x14ac:dyDescent="0.25"/>
    <row r="3954" ht="19.7" customHeight="1" x14ac:dyDescent="0.25"/>
    <row r="3955" ht="19.7" customHeight="1" x14ac:dyDescent="0.25"/>
    <row r="3956" ht="19.7" customHeight="1" x14ac:dyDescent="0.25"/>
    <row r="3957" ht="19.7" customHeight="1" x14ac:dyDescent="0.25"/>
    <row r="3958" ht="19.7" customHeight="1" x14ac:dyDescent="0.25"/>
    <row r="3959" ht="19.7" customHeight="1" x14ac:dyDescent="0.25"/>
    <row r="3960" ht="19.7" customHeight="1" x14ac:dyDescent="0.25"/>
    <row r="3961" ht="19.7" customHeight="1" x14ac:dyDescent="0.25"/>
    <row r="3962" ht="19.7" customHeight="1" x14ac:dyDescent="0.25"/>
    <row r="3963" ht="19.7" customHeight="1" x14ac:dyDescent="0.25"/>
    <row r="3964" ht="19.7" customHeight="1" x14ac:dyDescent="0.25"/>
    <row r="3965" ht="19.7" customHeight="1" x14ac:dyDescent="0.25"/>
    <row r="3966" ht="19.7" customHeight="1" x14ac:dyDescent="0.25"/>
    <row r="3967" ht="19.7" customHeight="1" x14ac:dyDescent="0.25"/>
    <row r="3968" ht="19.7" customHeight="1" x14ac:dyDescent="0.25"/>
    <row r="3969" ht="19.7" customHeight="1" x14ac:dyDescent="0.25"/>
    <row r="3970" ht="19.7" customHeight="1" x14ac:dyDescent="0.25"/>
    <row r="3971" ht="19.7" customHeight="1" x14ac:dyDescent="0.25"/>
    <row r="3972" ht="19.7" customHeight="1" x14ac:dyDescent="0.25"/>
    <row r="3973" ht="19.7" customHeight="1" x14ac:dyDescent="0.25"/>
    <row r="3974" ht="19.7" customHeight="1" x14ac:dyDescent="0.25"/>
    <row r="3975" ht="19.7" customHeight="1" x14ac:dyDescent="0.25"/>
    <row r="3976" ht="19.7" customHeight="1" x14ac:dyDescent="0.25"/>
    <row r="3977" ht="19.7" customHeight="1" x14ac:dyDescent="0.25"/>
    <row r="3978" ht="19.7" customHeight="1" x14ac:dyDescent="0.25"/>
    <row r="3979" ht="19.7" customHeight="1" x14ac:dyDescent="0.25"/>
    <row r="3980" ht="19.7" customHeight="1" x14ac:dyDescent="0.25"/>
    <row r="3981" ht="19.7" customHeight="1" x14ac:dyDescent="0.25"/>
    <row r="3982" ht="19.7" customHeight="1" x14ac:dyDescent="0.25"/>
    <row r="3983" ht="19.7" customHeight="1" x14ac:dyDescent="0.25"/>
    <row r="3984" ht="19.7" customHeight="1" x14ac:dyDescent="0.25"/>
    <row r="3985" ht="19.7" customHeight="1" x14ac:dyDescent="0.25"/>
    <row r="3986" ht="19.7" customHeight="1" x14ac:dyDescent="0.25"/>
    <row r="3987" ht="19.7" customHeight="1" x14ac:dyDescent="0.25"/>
    <row r="3988" ht="19.7" customHeight="1" x14ac:dyDescent="0.25"/>
    <row r="3989" ht="19.7" customHeight="1" x14ac:dyDescent="0.25"/>
    <row r="3990" ht="19.7" customHeight="1" x14ac:dyDescent="0.25"/>
    <row r="3991" ht="19.7" customHeight="1" x14ac:dyDescent="0.25"/>
    <row r="3992" ht="19.7" customHeight="1" x14ac:dyDescent="0.25"/>
    <row r="3993" ht="19.7" customHeight="1" x14ac:dyDescent="0.25"/>
    <row r="3994" ht="19.7" customHeight="1" x14ac:dyDescent="0.25"/>
    <row r="3995" ht="19.7" customHeight="1" x14ac:dyDescent="0.25"/>
    <row r="3996" ht="19.7" customHeight="1" x14ac:dyDescent="0.25"/>
    <row r="3997" ht="19.7" customHeight="1" x14ac:dyDescent="0.25"/>
    <row r="3998" ht="19.7" customHeight="1" x14ac:dyDescent="0.25"/>
    <row r="3999" ht="19.7" customHeight="1" x14ac:dyDescent="0.25"/>
    <row r="4000" ht="19.7" customHeight="1" x14ac:dyDescent="0.25"/>
    <row r="4001" ht="19.7" customHeight="1" x14ac:dyDescent="0.25"/>
    <row r="4002" ht="19.7" customHeight="1" x14ac:dyDescent="0.25"/>
    <row r="4003" ht="19.7" customHeight="1" x14ac:dyDescent="0.25"/>
    <row r="4004" ht="19.7" customHeight="1" x14ac:dyDescent="0.25"/>
    <row r="4005" ht="19.7" customHeight="1" x14ac:dyDescent="0.25"/>
    <row r="4006" ht="19.7" customHeight="1" x14ac:dyDescent="0.25"/>
    <row r="4007" ht="19.7" customHeight="1" x14ac:dyDescent="0.25"/>
    <row r="4008" ht="19.7" customHeight="1" x14ac:dyDescent="0.25"/>
    <row r="4009" ht="19.7" customHeight="1" x14ac:dyDescent="0.25"/>
    <row r="4010" ht="19.7" customHeight="1" x14ac:dyDescent="0.25"/>
    <row r="4011" ht="19.7" customHeight="1" x14ac:dyDescent="0.25"/>
    <row r="4012" ht="19.7" customHeight="1" x14ac:dyDescent="0.25"/>
    <row r="4013" ht="19.7" customHeight="1" x14ac:dyDescent="0.25"/>
    <row r="4014" ht="19.7" customHeight="1" x14ac:dyDescent="0.25"/>
    <row r="4015" ht="19.7" customHeight="1" x14ac:dyDescent="0.25"/>
    <row r="4016" ht="19.7" customHeight="1" x14ac:dyDescent="0.25"/>
    <row r="4017" ht="19.7" customHeight="1" x14ac:dyDescent="0.25"/>
    <row r="4018" ht="19.7" customHeight="1" x14ac:dyDescent="0.25"/>
    <row r="4019" ht="19.7" customHeight="1" x14ac:dyDescent="0.25"/>
    <row r="4020" ht="19.7" customHeight="1" x14ac:dyDescent="0.25"/>
    <row r="4021" ht="19.7" customHeight="1" x14ac:dyDescent="0.25"/>
    <row r="4022" ht="19.7" customHeight="1" x14ac:dyDescent="0.25"/>
    <row r="4023" ht="19.7" customHeight="1" x14ac:dyDescent="0.25"/>
    <row r="4024" ht="19.7" customHeight="1" x14ac:dyDescent="0.25"/>
    <row r="4025" ht="19.7" customHeight="1" x14ac:dyDescent="0.25"/>
    <row r="4026" ht="19.7" customHeight="1" x14ac:dyDescent="0.25"/>
    <row r="4027" ht="19.7" customHeight="1" x14ac:dyDescent="0.25"/>
    <row r="4028" ht="19.7" customHeight="1" x14ac:dyDescent="0.25"/>
    <row r="4029" ht="19.7" customHeight="1" x14ac:dyDescent="0.25"/>
    <row r="4030" ht="19.7" customHeight="1" x14ac:dyDescent="0.25"/>
    <row r="4031" ht="19.7" customHeight="1" x14ac:dyDescent="0.25"/>
    <row r="4032" ht="19.7" customHeight="1" x14ac:dyDescent="0.25"/>
    <row r="4033" ht="19.7" customHeight="1" x14ac:dyDescent="0.25"/>
    <row r="4034" ht="19.7" customHeight="1" x14ac:dyDescent="0.25"/>
    <row r="4035" ht="19.7" customHeight="1" x14ac:dyDescent="0.25"/>
    <row r="4036" ht="19.7" customHeight="1" x14ac:dyDescent="0.25"/>
    <row r="4037" ht="19.7" customHeight="1" x14ac:dyDescent="0.25"/>
    <row r="4038" ht="19.7" customHeight="1" x14ac:dyDescent="0.25"/>
    <row r="4039" ht="19.7" customHeight="1" x14ac:dyDescent="0.25"/>
    <row r="4040" ht="19.7" customHeight="1" x14ac:dyDescent="0.25"/>
    <row r="4041" ht="19.7" customHeight="1" x14ac:dyDescent="0.25"/>
    <row r="4042" ht="19.7" customHeight="1" x14ac:dyDescent="0.25"/>
    <row r="4043" ht="19.7" customHeight="1" x14ac:dyDescent="0.25"/>
    <row r="4044" ht="19.7" customHeight="1" x14ac:dyDescent="0.25"/>
    <row r="4045" ht="19.7" customHeight="1" x14ac:dyDescent="0.25"/>
    <row r="4046" ht="19.7" customHeight="1" x14ac:dyDescent="0.25"/>
    <row r="4047" ht="19.7" customHeight="1" x14ac:dyDescent="0.25"/>
    <row r="4048" ht="19.7" customHeight="1" x14ac:dyDescent="0.25"/>
    <row r="4049" ht="19.7" customHeight="1" x14ac:dyDescent="0.25"/>
    <row r="4050" ht="19.7" customHeight="1" x14ac:dyDescent="0.25"/>
    <row r="4051" ht="19.7" customHeight="1" x14ac:dyDescent="0.25"/>
    <row r="4052" ht="19.7" customHeight="1" x14ac:dyDescent="0.25"/>
    <row r="4053" ht="19.7" customHeight="1" x14ac:dyDescent="0.25"/>
    <row r="4054" ht="19.7" customHeight="1" x14ac:dyDescent="0.25"/>
    <row r="4055" ht="19.7" customHeight="1" x14ac:dyDescent="0.25"/>
    <row r="4056" ht="19.7" customHeight="1" x14ac:dyDescent="0.25"/>
    <row r="4057" ht="19.7" customHeight="1" x14ac:dyDescent="0.25"/>
    <row r="4058" ht="19.7" customHeight="1" x14ac:dyDescent="0.25"/>
    <row r="4059" ht="19.7" customHeight="1" x14ac:dyDescent="0.25"/>
    <row r="4060" ht="19.7" customHeight="1" x14ac:dyDescent="0.25"/>
    <row r="4061" ht="19.7" customHeight="1" x14ac:dyDescent="0.25"/>
    <row r="4062" ht="19.7" customHeight="1" x14ac:dyDescent="0.25"/>
    <row r="4063" ht="19.7" customHeight="1" x14ac:dyDescent="0.25"/>
    <row r="4064" ht="19.7" customHeight="1" x14ac:dyDescent="0.25"/>
    <row r="4065" ht="19.7" customHeight="1" x14ac:dyDescent="0.25"/>
    <row r="4066" ht="19.7" customHeight="1" x14ac:dyDescent="0.25"/>
    <row r="4067" ht="19.7" customHeight="1" x14ac:dyDescent="0.25"/>
    <row r="4068" ht="19.7" customHeight="1" x14ac:dyDescent="0.25"/>
    <row r="4069" ht="19.7" customHeight="1" x14ac:dyDescent="0.25"/>
    <row r="4070" ht="19.7" customHeight="1" x14ac:dyDescent="0.25"/>
    <row r="4071" ht="19.7" customHeight="1" x14ac:dyDescent="0.25"/>
    <row r="4072" ht="19.7" customHeight="1" x14ac:dyDescent="0.25"/>
    <row r="4073" ht="19.7" customHeight="1" x14ac:dyDescent="0.25"/>
    <row r="4074" ht="19.7" customHeight="1" x14ac:dyDescent="0.25"/>
    <row r="4075" ht="19.7" customHeight="1" x14ac:dyDescent="0.25"/>
    <row r="4076" ht="19.7" customHeight="1" x14ac:dyDescent="0.25"/>
    <row r="4077" ht="19.7" customHeight="1" x14ac:dyDescent="0.25"/>
    <row r="4078" ht="19.7" customHeight="1" x14ac:dyDescent="0.25"/>
    <row r="4079" ht="19.7" customHeight="1" x14ac:dyDescent="0.25"/>
    <row r="4080" ht="19.7" customHeight="1" x14ac:dyDescent="0.25"/>
    <row r="4081" ht="19.7" customHeight="1" x14ac:dyDescent="0.25"/>
    <row r="4082" ht="19.7" customHeight="1" x14ac:dyDescent="0.25"/>
    <row r="4083" ht="19.7" customHeight="1" x14ac:dyDescent="0.25"/>
    <row r="4084" ht="19.7" customHeight="1" x14ac:dyDescent="0.25"/>
    <row r="4085" ht="19.7" customHeight="1" x14ac:dyDescent="0.25"/>
    <row r="4086" ht="19.7" customHeight="1" x14ac:dyDescent="0.25"/>
    <row r="4087" ht="19.7" customHeight="1" x14ac:dyDescent="0.25"/>
    <row r="4088" ht="19.7" customHeight="1" x14ac:dyDescent="0.25"/>
    <row r="4089" ht="19.7" customHeight="1" x14ac:dyDescent="0.25"/>
    <row r="4090" ht="19.7" customHeight="1" x14ac:dyDescent="0.25"/>
    <row r="4091" ht="19.7" customHeight="1" x14ac:dyDescent="0.25"/>
    <row r="4092" ht="19.7" customHeight="1" x14ac:dyDescent="0.25"/>
    <row r="4093" ht="19.7" customHeight="1" x14ac:dyDescent="0.25"/>
    <row r="4094" ht="19.7" customHeight="1" x14ac:dyDescent="0.25"/>
    <row r="4095" ht="19.7" customHeight="1" x14ac:dyDescent="0.25"/>
    <row r="4096" ht="19.7" customHeight="1" x14ac:dyDescent="0.25"/>
    <row r="4097" ht="19.7" customHeight="1" x14ac:dyDescent="0.25"/>
    <row r="4098" ht="19.7" customHeight="1" x14ac:dyDescent="0.25"/>
    <row r="4099" ht="19.7" customHeight="1" x14ac:dyDescent="0.25"/>
    <row r="4100" ht="19.7" customHeight="1" x14ac:dyDescent="0.25"/>
    <row r="4101" ht="19.7" customHeight="1" x14ac:dyDescent="0.25"/>
    <row r="4102" ht="19.7" customHeight="1" x14ac:dyDescent="0.25"/>
    <row r="4103" ht="19.7" customHeight="1" x14ac:dyDescent="0.25"/>
    <row r="4104" ht="19.7" customHeight="1" x14ac:dyDescent="0.25"/>
    <row r="4105" ht="19.7" customHeight="1" x14ac:dyDescent="0.25"/>
    <row r="4106" ht="19.7" customHeight="1" x14ac:dyDescent="0.25"/>
    <row r="4107" ht="19.7" customHeight="1" x14ac:dyDescent="0.25"/>
    <row r="4108" ht="19.7" customHeight="1" x14ac:dyDescent="0.25"/>
    <row r="4109" ht="19.7" customHeight="1" x14ac:dyDescent="0.25"/>
    <row r="4110" ht="19.7" customHeight="1" x14ac:dyDescent="0.25"/>
    <row r="4111" ht="19.7" customHeight="1" x14ac:dyDescent="0.25"/>
    <row r="4112" ht="19.7" customHeight="1" x14ac:dyDescent="0.25"/>
    <row r="4113" ht="19.7" customHeight="1" x14ac:dyDescent="0.25"/>
    <row r="4114" ht="19.7" customHeight="1" x14ac:dyDescent="0.25"/>
    <row r="4115" ht="19.7" customHeight="1" x14ac:dyDescent="0.25"/>
    <row r="4116" ht="19.7" customHeight="1" x14ac:dyDescent="0.25"/>
    <row r="4117" ht="19.7" customHeight="1" x14ac:dyDescent="0.25"/>
    <row r="4118" ht="19.7" customHeight="1" x14ac:dyDescent="0.25"/>
    <row r="4119" ht="19.7" customHeight="1" x14ac:dyDescent="0.25"/>
    <row r="4120" ht="19.7" customHeight="1" x14ac:dyDescent="0.25"/>
    <row r="4121" ht="19.7" customHeight="1" x14ac:dyDescent="0.25"/>
    <row r="4122" ht="19.7" customHeight="1" x14ac:dyDescent="0.25"/>
    <row r="4123" ht="19.7" customHeight="1" x14ac:dyDescent="0.25"/>
    <row r="4124" ht="19.7" customHeight="1" x14ac:dyDescent="0.25"/>
    <row r="4125" ht="19.7" customHeight="1" x14ac:dyDescent="0.25"/>
    <row r="4126" ht="19.7" customHeight="1" x14ac:dyDescent="0.25"/>
    <row r="4127" ht="19.7" customHeight="1" x14ac:dyDescent="0.25"/>
    <row r="4128" ht="19.7" customHeight="1" x14ac:dyDescent="0.25"/>
    <row r="4129" ht="19.7" customHeight="1" x14ac:dyDescent="0.25"/>
    <row r="4130" ht="19.7" customHeight="1" x14ac:dyDescent="0.25"/>
    <row r="4131" ht="19.7" customHeight="1" x14ac:dyDescent="0.25"/>
    <row r="4132" ht="19.7" customHeight="1" x14ac:dyDescent="0.25"/>
    <row r="4133" ht="19.7" customHeight="1" x14ac:dyDescent="0.25"/>
    <row r="4134" ht="19.7" customHeight="1" x14ac:dyDescent="0.25"/>
    <row r="4135" ht="19.7" customHeight="1" x14ac:dyDescent="0.25"/>
    <row r="4136" ht="19.7" customHeight="1" x14ac:dyDescent="0.25"/>
    <row r="4137" ht="19.7" customHeight="1" x14ac:dyDescent="0.25"/>
    <row r="4138" ht="19.7" customHeight="1" x14ac:dyDescent="0.25"/>
    <row r="4139" ht="19.7" customHeight="1" x14ac:dyDescent="0.25"/>
    <row r="4140" ht="19.7" customHeight="1" x14ac:dyDescent="0.25"/>
    <row r="4141" ht="19.7" customHeight="1" x14ac:dyDescent="0.25"/>
    <row r="4142" ht="19.7" customHeight="1" x14ac:dyDescent="0.25"/>
    <row r="4143" ht="19.7" customHeight="1" x14ac:dyDescent="0.25"/>
    <row r="4144" ht="19.7" customHeight="1" x14ac:dyDescent="0.25"/>
    <row r="4145" ht="19.7" customHeight="1" x14ac:dyDescent="0.25"/>
    <row r="4146" ht="19.7" customHeight="1" x14ac:dyDescent="0.25"/>
    <row r="4147" ht="19.7" customHeight="1" x14ac:dyDescent="0.25"/>
    <row r="4148" ht="19.7" customHeight="1" x14ac:dyDescent="0.25"/>
    <row r="4149" ht="19.7" customHeight="1" x14ac:dyDescent="0.25"/>
    <row r="4150" ht="19.7" customHeight="1" x14ac:dyDescent="0.25"/>
    <row r="4151" ht="19.7" customHeight="1" x14ac:dyDescent="0.25"/>
    <row r="4152" ht="19.7" customHeight="1" x14ac:dyDescent="0.25"/>
    <row r="4153" ht="19.7" customHeight="1" x14ac:dyDescent="0.25"/>
    <row r="4154" ht="19.7" customHeight="1" x14ac:dyDescent="0.25"/>
    <row r="4155" ht="19.7" customHeight="1" x14ac:dyDescent="0.25"/>
    <row r="4156" ht="19.7" customHeight="1" x14ac:dyDescent="0.25"/>
    <row r="4157" ht="19.7" customHeight="1" x14ac:dyDescent="0.25"/>
    <row r="4158" ht="19.7" customHeight="1" x14ac:dyDescent="0.25"/>
    <row r="4159" ht="19.7" customHeight="1" x14ac:dyDescent="0.25"/>
    <row r="4160" ht="19.7" customHeight="1" x14ac:dyDescent="0.25"/>
    <row r="4161" ht="19.7" customHeight="1" x14ac:dyDescent="0.25"/>
    <row r="4162" ht="19.7" customHeight="1" x14ac:dyDescent="0.25"/>
    <row r="4163" ht="19.7" customHeight="1" x14ac:dyDescent="0.25"/>
    <row r="4164" ht="19.7" customHeight="1" x14ac:dyDescent="0.25"/>
    <row r="4165" ht="19.7" customHeight="1" x14ac:dyDescent="0.25"/>
    <row r="4166" ht="19.7" customHeight="1" x14ac:dyDescent="0.25"/>
    <row r="4167" ht="19.7" customHeight="1" x14ac:dyDescent="0.25"/>
    <row r="4168" ht="19.7" customHeight="1" x14ac:dyDescent="0.25"/>
    <row r="4169" ht="19.7" customHeight="1" x14ac:dyDescent="0.25"/>
    <row r="4170" ht="19.7" customHeight="1" x14ac:dyDescent="0.25"/>
    <row r="4171" ht="19.7" customHeight="1" x14ac:dyDescent="0.25"/>
    <row r="4172" ht="19.7" customHeight="1" x14ac:dyDescent="0.25"/>
    <row r="4173" ht="19.7" customHeight="1" x14ac:dyDescent="0.25"/>
    <row r="4174" ht="19.7" customHeight="1" x14ac:dyDescent="0.25"/>
    <row r="4175" ht="19.7" customHeight="1" x14ac:dyDescent="0.25"/>
    <row r="4176" ht="19.7" customHeight="1" x14ac:dyDescent="0.25"/>
    <row r="4177" ht="19.7" customHeight="1" x14ac:dyDescent="0.25"/>
    <row r="4178" ht="19.7" customHeight="1" x14ac:dyDescent="0.25"/>
    <row r="4179" ht="19.7" customHeight="1" x14ac:dyDescent="0.25"/>
    <row r="4180" ht="19.7" customHeight="1" x14ac:dyDescent="0.25"/>
    <row r="4181" ht="19.7" customHeight="1" x14ac:dyDescent="0.25"/>
    <row r="4182" ht="19.7" customHeight="1" x14ac:dyDescent="0.25"/>
    <row r="4183" ht="19.7" customHeight="1" x14ac:dyDescent="0.25"/>
    <row r="4184" ht="19.7" customHeight="1" x14ac:dyDescent="0.25"/>
    <row r="4185" ht="19.7" customHeight="1" x14ac:dyDescent="0.25"/>
    <row r="4186" ht="19.7" customHeight="1" x14ac:dyDescent="0.25"/>
    <row r="4187" ht="19.7" customHeight="1" x14ac:dyDescent="0.25"/>
    <row r="4188" ht="19.7" customHeight="1" x14ac:dyDescent="0.25"/>
    <row r="4189" ht="19.7" customHeight="1" x14ac:dyDescent="0.25"/>
    <row r="4190" ht="19.7" customHeight="1" x14ac:dyDescent="0.25"/>
    <row r="4191" ht="19.7" customHeight="1" x14ac:dyDescent="0.25"/>
    <row r="4192" ht="19.7" customHeight="1" x14ac:dyDescent="0.25"/>
    <row r="4193" ht="19.7" customHeight="1" x14ac:dyDescent="0.25"/>
    <row r="4194" ht="19.7" customHeight="1" x14ac:dyDescent="0.25"/>
    <row r="4195" ht="19.7" customHeight="1" x14ac:dyDescent="0.25"/>
    <row r="4196" ht="19.7" customHeight="1" x14ac:dyDescent="0.25"/>
    <row r="4197" ht="19.7" customHeight="1" x14ac:dyDescent="0.25"/>
    <row r="4198" ht="19.7" customHeight="1" x14ac:dyDescent="0.25"/>
    <row r="4199" ht="19.7" customHeight="1" x14ac:dyDescent="0.25"/>
    <row r="4200" ht="19.7" customHeight="1" x14ac:dyDescent="0.25"/>
    <row r="4201" ht="19.7" customHeight="1" x14ac:dyDescent="0.25"/>
    <row r="4202" ht="19.7" customHeight="1" x14ac:dyDescent="0.25"/>
    <row r="4203" ht="19.7" customHeight="1" x14ac:dyDescent="0.25"/>
    <row r="4204" ht="19.7" customHeight="1" x14ac:dyDescent="0.25"/>
    <row r="4205" ht="19.7" customHeight="1" x14ac:dyDescent="0.25"/>
    <row r="4206" ht="19.7" customHeight="1" x14ac:dyDescent="0.25"/>
    <row r="4207" ht="19.7" customHeight="1" x14ac:dyDescent="0.25"/>
    <row r="4208" ht="19.7" customHeight="1" x14ac:dyDescent="0.25"/>
    <row r="4209" ht="19.7" customHeight="1" x14ac:dyDescent="0.25"/>
    <row r="4210" ht="19.7" customHeight="1" x14ac:dyDescent="0.25"/>
    <row r="4211" ht="19.7" customHeight="1" x14ac:dyDescent="0.25"/>
    <row r="4212" ht="19.7" customHeight="1" x14ac:dyDescent="0.25"/>
    <row r="4213" ht="19.7" customHeight="1" x14ac:dyDescent="0.25"/>
    <row r="4214" ht="19.7" customHeight="1" x14ac:dyDescent="0.25"/>
    <row r="4215" ht="19.7" customHeight="1" x14ac:dyDescent="0.25"/>
    <row r="4216" ht="19.7" customHeight="1" x14ac:dyDescent="0.25"/>
    <row r="4217" ht="19.7" customHeight="1" x14ac:dyDescent="0.25"/>
    <row r="4218" ht="19.7" customHeight="1" x14ac:dyDescent="0.25"/>
    <row r="4219" ht="19.7" customHeight="1" x14ac:dyDescent="0.25"/>
    <row r="4220" ht="19.7" customHeight="1" x14ac:dyDescent="0.25"/>
    <row r="4221" ht="19.7" customHeight="1" x14ac:dyDescent="0.25"/>
    <row r="4222" ht="19.7" customHeight="1" x14ac:dyDescent="0.25"/>
    <row r="4223" ht="19.7" customHeight="1" x14ac:dyDescent="0.25"/>
    <row r="4224" ht="19.7" customHeight="1" x14ac:dyDescent="0.25"/>
    <row r="4225" ht="19.7" customHeight="1" x14ac:dyDescent="0.25"/>
    <row r="4226" ht="19.7" customHeight="1" x14ac:dyDescent="0.25"/>
    <row r="4227" ht="19.7" customHeight="1" x14ac:dyDescent="0.25"/>
    <row r="4228" ht="19.7" customHeight="1" x14ac:dyDescent="0.25"/>
    <row r="4229" ht="19.7" customHeight="1" x14ac:dyDescent="0.25"/>
    <row r="4230" ht="19.7" customHeight="1" x14ac:dyDescent="0.25"/>
    <row r="4231" ht="19.7" customHeight="1" x14ac:dyDescent="0.25"/>
    <row r="4232" ht="19.7" customHeight="1" x14ac:dyDescent="0.25"/>
    <row r="4233" ht="19.7" customHeight="1" x14ac:dyDescent="0.25"/>
    <row r="4234" ht="19.7" customHeight="1" x14ac:dyDescent="0.25"/>
    <row r="4235" ht="19.7" customHeight="1" x14ac:dyDescent="0.25"/>
    <row r="4236" ht="19.7" customHeight="1" x14ac:dyDescent="0.25"/>
    <row r="4237" ht="19.7" customHeight="1" x14ac:dyDescent="0.25"/>
    <row r="4238" ht="19.7" customHeight="1" x14ac:dyDescent="0.25"/>
    <row r="4239" ht="19.7" customHeight="1" x14ac:dyDescent="0.25"/>
    <row r="4240" ht="19.7" customHeight="1" x14ac:dyDescent="0.25"/>
    <row r="4241" ht="19.7" customHeight="1" x14ac:dyDescent="0.25"/>
    <row r="4242" ht="19.7" customHeight="1" x14ac:dyDescent="0.25"/>
    <row r="4243" ht="19.7" customHeight="1" x14ac:dyDescent="0.25"/>
    <row r="4244" ht="19.7" customHeight="1" x14ac:dyDescent="0.25"/>
    <row r="4245" ht="19.7" customHeight="1" x14ac:dyDescent="0.25"/>
    <row r="4246" ht="19.7" customHeight="1" x14ac:dyDescent="0.25"/>
    <row r="4247" ht="19.7" customHeight="1" x14ac:dyDescent="0.25"/>
    <row r="4248" ht="19.7" customHeight="1" x14ac:dyDescent="0.25"/>
    <row r="4249" ht="19.7" customHeight="1" x14ac:dyDescent="0.25"/>
    <row r="4250" ht="19.7" customHeight="1" x14ac:dyDescent="0.25"/>
    <row r="4251" ht="19.7" customHeight="1" x14ac:dyDescent="0.25"/>
    <row r="4252" ht="19.7" customHeight="1" x14ac:dyDescent="0.25"/>
    <row r="4253" ht="19.7" customHeight="1" x14ac:dyDescent="0.25"/>
    <row r="4254" ht="19.7" customHeight="1" x14ac:dyDescent="0.25"/>
    <row r="4255" ht="19.7" customHeight="1" x14ac:dyDescent="0.25"/>
    <row r="4256" ht="19.7" customHeight="1" x14ac:dyDescent="0.25"/>
    <row r="4257" ht="19.7" customHeight="1" x14ac:dyDescent="0.25"/>
    <row r="4258" ht="19.7" customHeight="1" x14ac:dyDescent="0.25"/>
    <row r="4259" ht="19.7" customHeight="1" x14ac:dyDescent="0.25"/>
    <row r="4260" ht="19.7" customHeight="1" x14ac:dyDescent="0.25"/>
    <row r="4261" ht="19.7" customHeight="1" x14ac:dyDescent="0.25"/>
    <row r="4262" ht="19.7" customHeight="1" x14ac:dyDescent="0.25"/>
    <row r="4263" ht="19.7" customHeight="1" x14ac:dyDescent="0.25"/>
    <row r="4264" ht="19.7" customHeight="1" x14ac:dyDescent="0.25"/>
    <row r="4265" ht="19.7" customHeight="1" x14ac:dyDescent="0.25"/>
    <row r="4266" ht="19.7" customHeight="1" x14ac:dyDescent="0.25"/>
    <row r="4267" ht="19.7" customHeight="1" x14ac:dyDescent="0.25"/>
    <row r="4268" ht="19.7" customHeight="1" x14ac:dyDescent="0.25"/>
    <row r="4269" ht="19.7" customHeight="1" x14ac:dyDescent="0.25"/>
    <row r="4270" ht="19.7" customHeight="1" x14ac:dyDescent="0.25"/>
    <row r="4271" ht="19.7" customHeight="1" x14ac:dyDescent="0.25"/>
    <row r="4272" ht="19.7" customHeight="1" x14ac:dyDescent="0.25"/>
    <row r="4273" ht="19.7" customHeight="1" x14ac:dyDescent="0.25"/>
    <row r="4274" ht="19.7" customHeight="1" x14ac:dyDescent="0.25"/>
    <row r="4275" ht="19.7" customHeight="1" x14ac:dyDescent="0.25"/>
    <row r="4276" ht="19.7" customHeight="1" x14ac:dyDescent="0.25"/>
    <row r="4277" ht="19.7" customHeight="1" x14ac:dyDescent="0.25"/>
    <row r="4278" ht="19.7" customHeight="1" x14ac:dyDescent="0.25"/>
    <row r="4279" ht="19.7" customHeight="1" x14ac:dyDescent="0.25"/>
    <row r="4280" ht="19.7" customHeight="1" x14ac:dyDescent="0.25"/>
    <row r="4281" ht="19.7" customHeight="1" x14ac:dyDescent="0.25"/>
    <row r="4282" ht="19.7" customHeight="1" x14ac:dyDescent="0.25"/>
    <row r="4283" ht="19.7" customHeight="1" x14ac:dyDescent="0.25"/>
    <row r="4284" ht="19.7" customHeight="1" x14ac:dyDescent="0.25"/>
    <row r="4285" ht="19.7" customHeight="1" x14ac:dyDescent="0.25"/>
    <row r="4286" ht="19.7" customHeight="1" x14ac:dyDescent="0.25"/>
    <row r="4287" ht="19.7" customHeight="1" x14ac:dyDescent="0.25"/>
    <row r="4288" ht="19.7" customHeight="1" x14ac:dyDescent="0.25"/>
    <row r="4289" ht="19.7" customHeight="1" x14ac:dyDescent="0.25"/>
    <row r="4290" ht="19.7" customHeight="1" x14ac:dyDescent="0.25"/>
    <row r="4291" ht="19.7" customHeight="1" x14ac:dyDescent="0.25"/>
    <row r="4292" ht="19.7" customHeight="1" x14ac:dyDescent="0.25"/>
    <row r="4293" ht="19.7" customHeight="1" x14ac:dyDescent="0.25"/>
    <row r="4294" ht="19.7" customHeight="1" x14ac:dyDescent="0.25"/>
    <row r="4295" ht="19.7" customHeight="1" x14ac:dyDescent="0.25"/>
    <row r="4296" ht="19.7" customHeight="1" x14ac:dyDescent="0.25"/>
    <row r="4297" ht="19.7" customHeight="1" x14ac:dyDescent="0.25"/>
    <row r="4298" ht="19.7" customHeight="1" x14ac:dyDescent="0.25"/>
    <row r="4299" ht="19.7" customHeight="1" x14ac:dyDescent="0.25"/>
    <row r="4300" ht="19.7" customHeight="1" x14ac:dyDescent="0.25"/>
    <row r="4301" ht="19.7" customHeight="1" x14ac:dyDescent="0.25"/>
    <row r="4302" ht="19.7" customHeight="1" x14ac:dyDescent="0.25"/>
    <row r="4303" ht="19.7" customHeight="1" x14ac:dyDescent="0.25"/>
    <row r="4304" ht="19.7" customHeight="1" x14ac:dyDescent="0.25"/>
    <row r="4305" ht="19.7" customHeight="1" x14ac:dyDescent="0.25"/>
    <row r="4306" ht="19.7" customHeight="1" x14ac:dyDescent="0.25"/>
    <row r="4307" ht="19.7" customHeight="1" x14ac:dyDescent="0.25"/>
    <row r="4308" ht="19.7" customHeight="1" x14ac:dyDescent="0.25"/>
    <row r="4309" ht="19.7" customHeight="1" x14ac:dyDescent="0.25"/>
    <row r="4310" ht="19.7" customHeight="1" x14ac:dyDescent="0.25"/>
    <row r="4311" ht="19.7" customHeight="1" x14ac:dyDescent="0.25"/>
    <row r="4312" ht="19.7" customHeight="1" x14ac:dyDescent="0.25"/>
    <row r="4313" ht="19.7" customHeight="1" x14ac:dyDescent="0.25"/>
    <row r="4314" ht="19.7" customHeight="1" x14ac:dyDescent="0.25"/>
    <row r="4315" ht="19.7" customHeight="1" x14ac:dyDescent="0.25"/>
    <row r="4316" ht="19.7" customHeight="1" x14ac:dyDescent="0.25"/>
    <row r="4317" ht="19.7" customHeight="1" x14ac:dyDescent="0.25"/>
    <row r="4318" ht="19.7" customHeight="1" x14ac:dyDescent="0.25"/>
    <row r="4319" ht="19.7" customHeight="1" x14ac:dyDescent="0.25"/>
    <row r="4320" ht="19.7" customHeight="1" x14ac:dyDescent="0.25"/>
    <row r="4321" ht="19.7" customHeight="1" x14ac:dyDescent="0.25"/>
    <row r="4322" ht="19.7" customHeight="1" x14ac:dyDescent="0.25"/>
    <row r="4323" ht="19.7" customHeight="1" x14ac:dyDescent="0.25"/>
    <row r="4324" ht="19.7" customHeight="1" x14ac:dyDescent="0.25"/>
    <row r="4325" ht="19.7" customHeight="1" x14ac:dyDescent="0.25"/>
    <row r="4326" ht="19.7" customHeight="1" x14ac:dyDescent="0.25"/>
    <row r="4327" ht="19.7" customHeight="1" x14ac:dyDescent="0.25"/>
    <row r="4328" ht="19.7" customHeight="1" x14ac:dyDescent="0.25"/>
    <row r="4329" ht="19.7" customHeight="1" x14ac:dyDescent="0.25"/>
    <row r="4330" ht="19.7" customHeight="1" x14ac:dyDescent="0.25"/>
    <row r="4331" ht="19.7" customHeight="1" x14ac:dyDescent="0.25"/>
    <row r="4332" ht="19.7" customHeight="1" x14ac:dyDescent="0.25"/>
    <row r="4333" ht="19.7" customHeight="1" x14ac:dyDescent="0.25"/>
    <row r="4334" ht="19.7" customHeight="1" x14ac:dyDescent="0.25"/>
    <row r="4335" ht="19.7" customHeight="1" x14ac:dyDescent="0.25"/>
    <row r="4336" ht="19.7" customHeight="1" x14ac:dyDescent="0.25"/>
    <row r="4337" ht="19.7" customHeight="1" x14ac:dyDescent="0.25"/>
    <row r="4338" ht="19.7" customHeight="1" x14ac:dyDescent="0.25"/>
    <row r="4339" ht="19.7" customHeight="1" x14ac:dyDescent="0.25"/>
    <row r="4340" ht="19.7" customHeight="1" x14ac:dyDescent="0.25"/>
    <row r="4341" ht="19.7" customHeight="1" x14ac:dyDescent="0.25"/>
    <row r="4342" ht="19.7" customHeight="1" x14ac:dyDescent="0.25"/>
    <row r="4343" ht="19.7" customHeight="1" x14ac:dyDescent="0.25"/>
    <row r="4344" ht="19.7" customHeight="1" x14ac:dyDescent="0.25"/>
    <row r="4345" ht="19.7" customHeight="1" x14ac:dyDescent="0.25"/>
    <row r="4346" ht="19.7" customHeight="1" x14ac:dyDescent="0.25"/>
    <row r="4347" ht="19.7" customHeight="1" x14ac:dyDescent="0.25"/>
    <row r="4348" ht="19.7" customHeight="1" x14ac:dyDescent="0.25"/>
    <row r="4349" ht="19.7" customHeight="1" x14ac:dyDescent="0.25"/>
    <row r="4350" ht="19.7" customHeight="1" x14ac:dyDescent="0.25"/>
    <row r="4351" ht="19.7" customHeight="1" x14ac:dyDescent="0.25"/>
    <row r="4352" ht="19.7" customHeight="1" x14ac:dyDescent="0.25"/>
    <row r="4353" ht="19.7" customHeight="1" x14ac:dyDescent="0.25"/>
    <row r="4354" ht="19.7" customHeight="1" x14ac:dyDescent="0.25"/>
    <row r="4355" ht="19.7" customHeight="1" x14ac:dyDescent="0.25"/>
    <row r="4356" ht="19.7" customHeight="1" x14ac:dyDescent="0.25"/>
    <row r="4357" ht="19.7" customHeight="1" x14ac:dyDescent="0.25"/>
    <row r="4358" ht="19.7" customHeight="1" x14ac:dyDescent="0.25"/>
    <row r="4359" ht="19.7" customHeight="1" x14ac:dyDescent="0.25"/>
    <row r="4360" ht="19.7" customHeight="1" x14ac:dyDescent="0.25"/>
    <row r="4361" ht="19.7" customHeight="1" x14ac:dyDescent="0.25"/>
    <row r="4362" ht="19.7" customHeight="1" x14ac:dyDescent="0.25"/>
    <row r="4363" ht="19.7" customHeight="1" x14ac:dyDescent="0.25"/>
    <row r="4364" ht="19.7" customHeight="1" x14ac:dyDescent="0.25"/>
    <row r="4365" ht="19.7" customHeight="1" x14ac:dyDescent="0.25"/>
    <row r="4366" ht="19.7" customHeight="1" x14ac:dyDescent="0.25"/>
    <row r="4367" ht="19.7" customHeight="1" x14ac:dyDescent="0.25"/>
    <row r="4368" ht="19.7" customHeight="1" x14ac:dyDescent="0.25"/>
    <row r="4369" ht="19.7" customHeight="1" x14ac:dyDescent="0.25"/>
    <row r="4370" ht="19.7" customHeight="1" x14ac:dyDescent="0.25"/>
    <row r="4371" ht="19.7" customHeight="1" x14ac:dyDescent="0.25"/>
    <row r="4372" ht="19.7" customHeight="1" x14ac:dyDescent="0.25"/>
    <row r="4373" ht="19.7" customHeight="1" x14ac:dyDescent="0.25"/>
    <row r="4374" ht="19.7" customHeight="1" x14ac:dyDescent="0.25"/>
    <row r="4375" ht="19.7" customHeight="1" x14ac:dyDescent="0.25"/>
    <row r="4376" ht="19.7" customHeight="1" x14ac:dyDescent="0.25"/>
    <row r="4377" ht="19.7" customHeight="1" x14ac:dyDescent="0.25"/>
    <row r="4378" ht="19.7" customHeight="1" x14ac:dyDescent="0.25"/>
    <row r="4379" ht="19.7" customHeight="1" x14ac:dyDescent="0.25"/>
    <row r="4380" ht="19.7" customHeight="1" x14ac:dyDescent="0.25"/>
    <row r="4381" ht="19.7" customHeight="1" x14ac:dyDescent="0.25"/>
    <row r="4382" ht="19.7" customHeight="1" x14ac:dyDescent="0.25"/>
    <row r="4383" ht="19.7" customHeight="1" x14ac:dyDescent="0.25"/>
    <row r="4384" ht="19.7" customHeight="1" x14ac:dyDescent="0.25"/>
    <row r="4385" ht="19.7" customHeight="1" x14ac:dyDescent="0.25"/>
    <row r="4386" ht="19.7" customHeight="1" x14ac:dyDescent="0.25"/>
    <row r="4387" ht="19.7" customHeight="1" x14ac:dyDescent="0.25"/>
    <row r="4388" ht="19.7" customHeight="1" x14ac:dyDescent="0.25"/>
    <row r="4389" ht="19.7" customHeight="1" x14ac:dyDescent="0.25"/>
    <row r="4390" ht="19.7" customHeight="1" x14ac:dyDescent="0.25"/>
    <row r="4391" ht="19.7" customHeight="1" x14ac:dyDescent="0.25"/>
    <row r="4392" ht="19.7" customHeight="1" x14ac:dyDescent="0.25"/>
    <row r="4393" ht="19.7" customHeight="1" x14ac:dyDescent="0.25"/>
    <row r="4394" ht="19.7" customHeight="1" x14ac:dyDescent="0.25"/>
    <row r="4395" ht="19.7" customHeight="1" x14ac:dyDescent="0.25"/>
    <row r="4396" ht="19.7" customHeight="1" x14ac:dyDescent="0.25"/>
    <row r="4397" ht="19.7" customHeight="1" x14ac:dyDescent="0.25"/>
    <row r="4398" ht="19.7" customHeight="1" x14ac:dyDescent="0.25"/>
    <row r="4399" ht="19.7" customHeight="1" x14ac:dyDescent="0.25"/>
    <row r="4400" ht="19.7" customHeight="1" x14ac:dyDescent="0.25"/>
    <row r="4401" ht="19.7" customHeight="1" x14ac:dyDescent="0.25"/>
    <row r="4402" ht="19.7" customHeight="1" x14ac:dyDescent="0.25"/>
    <row r="4403" ht="19.7" customHeight="1" x14ac:dyDescent="0.25"/>
    <row r="4404" ht="19.7" customHeight="1" x14ac:dyDescent="0.25"/>
    <row r="4405" ht="19.7" customHeight="1" x14ac:dyDescent="0.25"/>
    <row r="4406" ht="19.7" customHeight="1" x14ac:dyDescent="0.25"/>
    <row r="4407" ht="19.7" customHeight="1" x14ac:dyDescent="0.25"/>
    <row r="4408" ht="19.7" customHeight="1" x14ac:dyDescent="0.25"/>
    <row r="4409" ht="19.7" customHeight="1" x14ac:dyDescent="0.25"/>
    <row r="4410" ht="19.7" customHeight="1" x14ac:dyDescent="0.25"/>
    <row r="4411" ht="19.7" customHeight="1" x14ac:dyDescent="0.25"/>
    <row r="4412" ht="19.7" customHeight="1" x14ac:dyDescent="0.25"/>
    <row r="4413" ht="19.7" customHeight="1" x14ac:dyDescent="0.25"/>
    <row r="4414" ht="19.7" customHeight="1" x14ac:dyDescent="0.25"/>
    <row r="4415" ht="19.7" customHeight="1" x14ac:dyDescent="0.25"/>
    <row r="4416" ht="19.7" customHeight="1" x14ac:dyDescent="0.25"/>
    <row r="4417" ht="19.7" customHeight="1" x14ac:dyDescent="0.25"/>
    <row r="4418" ht="19.7" customHeight="1" x14ac:dyDescent="0.25"/>
    <row r="4419" ht="19.7" customHeight="1" x14ac:dyDescent="0.25"/>
    <row r="4420" ht="19.7" customHeight="1" x14ac:dyDescent="0.25"/>
    <row r="4421" ht="19.7" customHeight="1" x14ac:dyDescent="0.25"/>
    <row r="4422" ht="19.7" customHeight="1" x14ac:dyDescent="0.25"/>
    <row r="4423" ht="19.7" customHeight="1" x14ac:dyDescent="0.25"/>
    <row r="4424" ht="19.7" customHeight="1" x14ac:dyDescent="0.25"/>
    <row r="4425" ht="19.7" customHeight="1" x14ac:dyDescent="0.25"/>
    <row r="4426" ht="19.7" customHeight="1" x14ac:dyDescent="0.25"/>
    <row r="4427" ht="19.7" customHeight="1" x14ac:dyDescent="0.25"/>
    <row r="4428" ht="19.7" customHeight="1" x14ac:dyDescent="0.25"/>
    <row r="4429" ht="19.7" customHeight="1" x14ac:dyDescent="0.25"/>
    <row r="4430" ht="19.7" customHeight="1" x14ac:dyDescent="0.25"/>
    <row r="4431" ht="19.7" customHeight="1" x14ac:dyDescent="0.25"/>
    <row r="4432" ht="19.7" customHeight="1" x14ac:dyDescent="0.25"/>
    <row r="4433" ht="19.7" customHeight="1" x14ac:dyDescent="0.25"/>
    <row r="4434" ht="19.7" customHeight="1" x14ac:dyDescent="0.25"/>
    <row r="4435" ht="19.7" customHeight="1" x14ac:dyDescent="0.25"/>
    <row r="4436" ht="19.7" customHeight="1" x14ac:dyDescent="0.25"/>
    <row r="4437" ht="19.7" customHeight="1" x14ac:dyDescent="0.25"/>
    <row r="4438" ht="19.7" customHeight="1" x14ac:dyDescent="0.25"/>
    <row r="4439" ht="19.7" customHeight="1" x14ac:dyDescent="0.25"/>
    <row r="4440" ht="19.7" customHeight="1" x14ac:dyDescent="0.25"/>
    <row r="4441" ht="19.7" customHeight="1" x14ac:dyDescent="0.25"/>
    <row r="4442" ht="19.7" customHeight="1" x14ac:dyDescent="0.25"/>
    <row r="4443" ht="19.7" customHeight="1" x14ac:dyDescent="0.25"/>
    <row r="4444" ht="19.7" customHeight="1" x14ac:dyDescent="0.25"/>
    <row r="4445" ht="19.7" customHeight="1" x14ac:dyDescent="0.25"/>
    <row r="4446" ht="19.7" customHeight="1" x14ac:dyDescent="0.25"/>
    <row r="4447" ht="19.7" customHeight="1" x14ac:dyDescent="0.25"/>
    <row r="4448" ht="19.7" customHeight="1" x14ac:dyDescent="0.25"/>
    <row r="4449" ht="19.7" customHeight="1" x14ac:dyDescent="0.25"/>
    <row r="4450" ht="19.7" customHeight="1" x14ac:dyDescent="0.25"/>
    <row r="4451" ht="19.7" customHeight="1" x14ac:dyDescent="0.25"/>
    <row r="4452" ht="19.7" customHeight="1" x14ac:dyDescent="0.25"/>
    <row r="4453" ht="19.7" customHeight="1" x14ac:dyDescent="0.25"/>
    <row r="4454" ht="19.7" customHeight="1" x14ac:dyDescent="0.25"/>
    <row r="4455" ht="19.7" customHeight="1" x14ac:dyDescent="0.25"/>
    <row r="4456" ht="19.7" customHeight="1" x14ac:dyDescent="0.25"/>
    <row r="4457" ht="19.7" customHeight="1" x14ac:dyDescent="0.25"/>
    <row r="4458" ht="19.7" customHeight="1" x14ac:dyDescent="0.25"/>
    <row r="4459" ht="19.7" customHeight="1" x14ac:dyDescent="0.25"/>
    <row r="4460" ht="19.7" customHeight="1" x14ac:dyDescent="0.25"/>
    <row r="4461" ht="19.7" customHeight="1" x14ac:dyDescent="0.25"/>
    <row r="4462" ht="19.7" customHeight="1" x14ac:dyDescent="0.25"/>
    <row r="4463" ht="19.7" customHeight="1" x14ac:dyDescent="0.25"/>
    <row r="4464" ht="19.7" customHeight="1" x14ac:dyDescent="0.25"/>
    <row r="4465" ht="19.7" customHeight="1" x14ac:dyDescent="0.25"/>
    <row r="4466" ht="19.7" customHeight="1" x14ac:dyDescent="0.25"/>
    <row r="4467" ht="19.7" customHeight="1" x14ac:dyDescent="0.25"/>
    <row r="4468" ht="19.7" customHeight="1" x14ac:dyDescent="0.25"/>
    <row r="4469" ht="19.7" customHeight="1" x14ac:dyDescent="0.25"/>
    <row r="4470" ht="19.7" customHeight="1" x14ac:dyDescent="0.25"/>
    <row r="4471" ht="19.7" customHeight="1" x14ac:dyDescent="0.25"/>
    <row r="4472" ht="19.7" customHeight="1" x14ac:dyDescent="0.25"/>
    <row r="4473" ht="19.7" customHeight="1" x14ac:dyDescent="0.25"/>
    <row r="4474" ht="19.7" customHeight="1" x14ac:dyDescent="0.25"/>
    <row r="4475" ht="19.7" customHeight="1" x14ac:dyDescent="0.25"/>
    <row r="4476" ht="19.7" customHeight="1" x14ac:dyDescent="0.25"/>
    <row r="4477" ht="19.7" customHeight="1" x14ac:dyDescent="0.25"/>
    <row r="4478" ht="19.7" customHeight="1" x14ac:dyDescent="0.25"/>
    <row r="4479" ht="19.7" customHeight="1" x14ac:dyDescent="0.25"/>
    <row r="4480" ht="19.7" customHeight="1" x14ac:dyDescent="0.25"/>
    <row r="4481" ht="19.7" customHeight="1" x14ac:dyDescent="0.25"/>
    <row r="4482" ht="19.7" customHeight="1" x14ac:dyDescent="0.25"/>
    <row r="4483" ht="19.7" customHeight="1" x14ac:dyDescent="0.25"/>
    <row r="4484" ht="19.7" customHeight="1" x14ac:dyDescent="0.25"/>
    <row r="4485" ht="19.7" customHeight="1" x14ac:dyDescent="0.25"/>
    <row r="4486" ht="19.7" customHeight="1" x14ac:dyDescent="0.25"/>
    <row r="4487" ht="19.7" customHeight="1" x14ac:dyDescent="0.25"/>
    <row r="4488" ht="19.7" customHeight="1" x14ac:dyDescent="0.25"/>
    <row r="4489" ht="19.7" customHeight="1" x14ac:dyDescent="0.25"/>
    <row r="4490" ht="19.7" customHeight="1" x14ac:dyDescent="0.25"/>
    <row r="4491" ht="19.7" customHeight="1" x14ac:dyDescent="0.25"/>
    <row r="4492" ht="19.7" customHeight="1" x14ac:dyDescent="0.25"/>
    <row r="4493" ht="19.7" customHeight="1" x14ac:dyDescent="0.25"/>
    <row r="4494" ht="19.7" customHeight="1" x14ac:dyDescent="0.25"/>
    <row r="4495" ht="19.7" customHeight="1" x14ac:dyDescent="0.25"/>
    <row r="4496" ht="19.7" customHeight="1" x14ac:dyDescent="0.25"/>
    <row r="4497" ht="19.7" customHeight="1" x14ac:dyDescent="0.25"/>
    <row r="4498" ht="19.7" customHeight="1" x14ac:dyDescent="0.25"/>
    <row r="4499" ht="19.7" customHeight="1" x14ac:dyDescent="0.25"/>
    <row r="4500" ht="19.7" customHeight="1" x14ac:dyDescent="0.25"/>
    <row r="4501" ht="19.7" customHeight="1" x14ac:dyDescent="0.25"/>
    <row r="4502" ht="19.7" customHeight="1" x14ac:dyDescent="0.25"/>
    <row r="4503" ht="19.7" customHeight="1" x14ac:dyDescent="0.25"/>
    <row r="4504" ht="19.7" customHeight="1" x14ac:dyDescent="0.25"/>
    <row r="4505" ht="19.7" customHeight="1" x14ac:dyDescent="0.25"/>
    <row r="4506" ht="19.7" customHeight="1" x14ac:dyDescent="0.25"/>
    <row r="4507" ht="19.7" customHeight="1" x14ac:dyDescent="0.25"/>
    <row r="4508" ht="19.7" customHeight="1" x14ac:dyDescent="0.25"/>
    <row r="4509" ht="19.7" customHeight="1" x14ac:dyDescent="0.25"/>
    <row r="4510" ht="19.7" customHeight="1" x14ac:dyDescent="0.25"/>
    <row r="4511" ht="19.7" customHeight="1" x14ac:dyDescent="0.25"/>
    <row r="4512" ht="19.7" customHeight="1" x14ac:dyDescent="0.25"/>
    <row r="4513" ht="19.7" customHeight="1" x14ac:dyDescent="0.25"/>
    <row r="4514" ht="19.7" customHeight="1" x14ac:dyDescent="0.25"/>
    <row r="4515" ht="19.7" customHeight="1" x14ac:dyDescent="0.25"/>
    <row r="4516" ht="19.7" customHeight="1" x14ac:dyDescent="0.25"/>
    <row r="4517" ht="19.7" customHeight="1" x14ac:dyDescent="0.25"/>
    <row r="4518" ht="19.7" customHeight="1" x14ac:dyDescent="0.25"/>
    <row r="4519" ht="19.7" customHeight="1" x14ac:dyDescent="0.25"/>
    <row r="4520" ht="19.7" customHeight="1" x14ac:dyDescent="0.25"/>
    <row r="4521" ht="19.7" customHeight="1" x14ac:dyDescent="0.25"/>
    <row r="4522" ht="19.7" customHeight="1" x14ac:dyDescent="0.25"/>
    <row r="4523" ht="19.7" customHeight="1" x14ac:dyDescent="0.25"/>
    <row r="4524" ht="19.7" customHeight="1" x14ac:dyDescent="0.25"/>
    <row r="4525" ht="19.7" customHeight="1" x14ac:dyDescent="0.25"/>
    <row r="4526" ht="19.7" customHeight="1" x14ac:dyDescent="0.25"/>
    <row r="4527" ht="19.7" customHeight="1" x14ac:dyDescent="0.25"/>
    <row r="4528" ht="19.7" customHeight="1" x14ac:dyDescent="0.25"/>
    <row r="4529" ht="19.7" customHeight="1" x14ac:dyDescent="0.25"/>
    <row r="4530" ht="19.7" customHeight="1" x14ac:dyDescent="0.25"/>
    <row r="4531" ht="19.7" customHeight="1" x14ac:dyDescent="0.25"/>
    <row r="4532" ht="19.7" customHeight="1" x14ac:dyDescent="0.25"/>
    <row r="4533" ht="19.7" customHeight="1" x14ac:dyDescent="0.25"/>
    <row r="4534" ht="19.7" customHeight="1" x14ac:dyDescent="0.25"/>
    <row r="4535" ht="19.7" customHeight="1" x14ac:dyDescent="0.25"/>
    <row r="4536" ht="19.7" customHeight="1" x14ac:dyDescent="0.25"/>
    <row r="4537" ht="19.7" customHeight="1" x14ac:dyDescent="0.25"/>
    <row r="4538" ht="19.7" customHeight="1" x14ac:dyDescent="0.25"/>
    <row r="4539" ht="19.7" customHeight="1" x14ac:dyDescent="0.25"/>
    <row r="4540" ht="19.7" customHeight="1" x14ac:dyDescent="0.25"/>
    <row r="4541" ht="19.7" customHeight="1" x14ac:dyDescent="0.25"/>
    <row r="4542" ht="19.7" customHeight="1" x14ac:dyDescent="0.25"/>
    <row r="4543" ht="19.7" customHeight="1" x14ac:dyDescent="0.25"/>
    <row r="4544" ht="19.7" customHeight="1" x14ac:dyDescent="0.25"/>
    <row r="4545" ht="19.7" customHeight="1" x14ac:dyDescent="0.25"/>
    <row r="4546" ht="19.7" customHeight="1" x14ac:dyDescent="0.25"/>
    <row r="4547" ht="19.7" customHeight="1" x14ac:dyDescent="0.25"/>
    <row r="4548" ht="19.7" customHeight="1" x14ac:dyDescent="0.25"/>
    <row r="4549" ht="19.7" customHeight="1" x14ac:dyDescent="0.25"/>
    <row r="4550" ht="19.7" customHeight="1" x14ac:dyDescent="0.25"/>
    <row r="4551" ht="19.7" customHeight="1" x14ac:dyDescent="0.25"/>
    <row r="4552" ht="19.7" customHeight="1" x14ac:dyDescent="0.25"/>
    <row r="4553" ht="19.7" customHeight="1" x14ac:dyDescent="0.25"/>
    <row r="4554" ht="19.7" customHeight="1" x14ac:dyDescent="0.25"/>
    <row r="4555" ht="19.7" customHeight="1" x14ac:dyDescent="0.25"/>
    <row r="4556" ht="19.7" customHeight="1" x14ac:dyDescent="0.25"/>
    <row r="4557" ht="19.7" customHeight="1" x14ac:dyDescent="0.25"/>
    <row r="4558" ht="19.7" customHeight="1" x14ac:dyDescent="0.25"/>
    <row r="4559" ht="19.7" customHeight="1" x14ac:dyDescent="0.25"/>
    <row r="4560" ht="19.7" customHeight="1" x14ac:dyDescent="0.25"/>
    <row r="4561" ht="19.7" customHeight="1" x14ac:dyDescent="0.25"/>
    <row r="4562" ht="19.7" customHeight="1" x14ac:dyDescent="0.25"/>
    <row r="4563" ht="19.7" customHeight="1" x14ac:dyDescent="0.25"/>
    <row r="4564" ht="19.7" customHeight="1" x14ac:dyDescent="0.25"/>
    <row r="4565" ht="19.7" customHeight="1" x14ac:dyDescent="0.25"/>
    <row r="4566" ht="19.7" customHeight="1" x14ac:dyDescent="0.25"/>
    <row r="4567" ht="19.7" customHeight="1" x14ac:dyDescent="0.25"/>
    <row r="4568" ht="19.7" customHeight="1" x14ac:dyDescent="0.25"/>
    <row r="4569" ht="19.7" customHeight="1" x14ac:dyDescent="0.25"/>
    <row r="4570" ht="19.7" customHeight="1" x14ac:dyDescent="0.25"/>
    <row r="4571" ht="19.7" customHeight="1" x14ac:dyDescent="0.25"/>
    <row r="4572" ht="19.7" customHeight="1" x14ac:dyDescent="0.25"/>
    <row r="4573" ht="19.7" customHeight="1" x14ac:dyDescent="0.25"/>
    <row r="4574" ht="19.7" customHeight="1" x14ac:dyDescent="0.25"/>
    <row r="4575" ht="19.7" customHeight="1" x14ac:dyDescent="0.25"/>
    <row r="4576" ht="19.7" customHeight="1" x14ac:dyDescent="0.25"/>
    <row r="4577" ht="19.7" customHeight="1" x14ac:dyDescent="0.25"/>
    <row r="4578" ht="19.7" customHeight="1" x14ac:dyDescent="0.25"/>
    <row r="4579" ht="19.7" customHeight="1" x14ac:dyDescent="0.25"/>
    <row r="4580" ht="19.7" customHeight="1" x14ac:dyDescent="0.25"/>
    <row r="4581" ht="19.7" customHeight="1" x14ac:dyDescent="0.25"/>
    <row r="4582" ht="19.7" customHeight="1" x14ac:dyDescent="0.25"/>
    <row r="4583" ht="19.7" customHeight="1" x14ac:dyDescent="0.25"/>
    <row r="4584" ht="19.7" customHeight="1" x14ac:dyDescent="0.25"/>
    <row r="4585" ht="19.7" customHeight="1" x14ac:dyDescent="0.25"/>
    <row r="4586" ht="19.7" customHeight="1" x14ac:dyDescent="0.25"/>
    <row r="4587" ht="19.7" customHeight="1" x14ac:dyDescent="0.25"/>
    <row r="4588" ht="19.7" customHeight="1" x14ac:dyDescent="0.25"/>
    <row r="4589" ht="19.7" customHeight="1" x14ac:dyDescent="0.25"/>
    <row r="4590" ht="19.7" customHeight="1" x14ac:dyDescent="0.25"/>
    <row r="4591" ht="19.7" customHeight="1" x14ac:dyDescent="0.25"/>
    <row r="4592" ht="19.7" customHeight="1" x14ac:dyDescent="0.25"/>
    <row r="4593" ht="19.7" customHeight="1" x14ac:dyDescent="0.25"/>
    <row r="4594" ht="19.7" customHeight="1" x14ac:dyDescent="0.25"/>
    <row r="4595" ht="19.7" customHeight="1" x14ac:dyDescent="0.25"/>
    <row r="4596" ht="19.7" customHeight="1" x14ac:dyDescent="0.25"/>
    <row r="4597" ht="19.7" customHeight="1" x14ac:dyDescent="0.25"/>
    <row r="4598" ht="19.7" customHeight="1" x14ac:dyDescent="0.25"/>
    <row r="4599" ht="19.7" customHeight="1" x14ac:dyDescent="0.25"/>
    <row r="4600" ht="19.7" customHeight="1" x14ac:dyDescent="0.25"/>
    <row r="4601" ht="19.7" customHeight="1" x14ac:dyDescent="0.25"/>
    <row r="4602" ht="19.7" customHeight="1" x14ac:dyDescent="0.25"/>
    <row r="4603" ht="19.7" customHeight="1" x14ac:dyDescent="0.25"/>
    <row r="4604" ht="19.7" customHeight="1" x14ac:dyDescent="0.25"/>
    <row r="4605" ht="19.7" customHeight="1" x14ac:dyDescent="0.25"/>
    <row r="4606" ht="19.7" customHeight="1" x14ac:dyDescent="0.25"/>
    <row r="4607" ht="19.7" customHeight="1" x14ac:dyDescent="0.25"/>
    <row r="4608" ht="19.7" customHeight="1" x14ac:dyDescent="0.25"/>
    <row r="4609" ht="19.7" customHeight="1" x14ac:dyDescent="0.25"/>
    <row r="4610" ht="19.7" customHeight="1" x14ac:dyDescent="0.25"/>
    <row r="4611" ht="19.7" customHeight="1" x14ac:dyDescent="0.25"/>
    <row r="4612" ht="19.7" customHeight="1" x14ac:dyDescent="0.25"/>
    <row r="4613" ht="19.7" customHeight="1" x14ac:dyDescent="0.25"/>
    <row r="4614" ht="19.7" customHeight="1" x14ac:dyDescent="0.25"/>
    <row r="4615" ht="19.7" customHeight="1" x14ac:dyDescent="0.25"/>
    <row r="4616" ht="19.7" customHeight="1" x14ac:dyDescent="0.25"/>
    <row r="4617" ht="19.7" customHeight="1" x14ac:dyDescent="0.25"/>
    <row r="4618" ht="19.7" customHeight="1" x14ac:dyDescent="0.25"/>
    <row r="4619" ht="19.7" customHeight="1" x14ac:dyDescent="0.25"/>
    <row r="4620" ht="19.7" customHeight="1" x14ac:dyDescent="0.25"/>
    <row r="4621" ht="19.7" customHeight="1" x14ac:dyDescent="0.25"/>
    <row r="4622" ht="19.7" customHeight="1" x14ac:dyDescent="0.25"/>
    <row r="4623" ht="19.7" customHeight="1" x14ac:dyDescent="0.25"/>
    <row r="4624" ht="19.7" customHeight="1" x14ac:dyDescent="0.25"/>
    <row r="4625" ht="19.7" customHeight="1" x14ac:dyDescent="0.25"/>
    <row r="4626" ht="19.7" customHeight="1" x14ac:dyDescent="0.25"/>
    <row r="4627" ht="19.7" customHeight="1" x14ac:dyDescent="0.25"/>
    <row r="4628" ht="19.7" customHeight="1" x14ac:dyDescent="0.25"/>
    <row r="4629" ht="19.7" customHeight="1" x14ac:dyDescent="0.25"/>
    <row r="4630" ht="19.7" customHeight="1" x14ac:dyDescent="0.25"/>
    <row r="4631" ht="19.7" customHeight="1" x14ac:dyDescent="0.25"/>
    <row r="4632" ht="19.7" customHeight="1" x14ac:dyDescent="0.25"/>
    <row r="4633" ht="19.7" customHeight="1" x14ac:dyDescent="0.25"/>
    <row r="4634" ht="19.7" customHeight="1" x14ac:dyDescent="0.25"/>
    <row r="4635" ht="19.7" customHeight="1" x14ac:dyDescent="0.25"/>
    <row r="4636" ht="19.7" customHeight="1" x14ac:dyDescent="0.25"/>
    <row r="4637" ht="19.7" customHeight="1" x14ac:dyDescent="0.25"/>
    <row r="4638" ht="19.7" customHeight="1" x14ac:dyDescent="0.25"/>
    <row r="4639" ht="19.7" customHeight="1" x14ac:dyDescent="0.25"/>
    <row r="4640" ht="19.7" customHeight="1" x14ac:dyDescent="0.25"/>
    <row r="4641" ht="19.7" customHeight="1" x14ac:dyDescent="0.25"/>
    <row r="4642" ht="19.7" customHeight="1" x14ac:dyDescent="0.25"/>
    <row r="4643" ht="19.7" customHeight="1" x14ac:dyDescent="0.25"/>
    <row r="4644" ht="19.7" customHeight="1" x14ac:dyDescent="0.25"/>
    <row r="4645" ht="19.7" customHeight="1" x14ac:dyDescent="0.25"/>
    <row r="4646" ht="19.7" customHeight="1" x14ac:dyDescent="0.25"/>
    <row r="4647" ht="19.7" customHeight="1" x14ac:dyDescent="0.25"/>
    <row r="4648" ht="19.7" customHeight="1" x14ac:dyDescent="0.25"/>
    <row r="4649" ht="19.7" customHeight="1" x14ac:dyDescent="0.25"/>
    <row r="4650" ht="19.7" customHeight="1" x14ac:dyDescent="0.25"/>
    <row r="4651" ht="19.7" customHeight="1" x14ac:dyDescent="0.25"/>
    <row r="4652" ht="19.7" customHeight="1" x14ac:dyDescent="0.25"/>
    <row r="4653" ht="19.7" customHeight="1" x14ac:dyDescent="0.25"/>
    <row r="4654" ht="19.7" customHeight="1" x14ac:dyDescent="0.25"/>
    <row r="4655" ht="19.7" customHeight="1" x14ac:dyDescent="0.25"/>
    <row r="4656" ht="19.7" customHeight="1" x14ac:dyDescent="0.25"/>
    <row r="4657" ht="19.7" customHeight="1" x14ac:dyDescent="0.25"/>
    <row r="4658" ht="19.7" customHeight="1" x14ac:dyDescent="0.25"/>
    <row r="4659" ht="19.7" customHeight="1" x14ac:dyDescent="0.25"/>
    <row r="4660" ht="19.7" customHeight="1" x14ac:dyDescent="0.25"/>
    <row r="4661" ht="19.7" customHeight="1" x14ac:dyDescent="0.25"/>
    <row r="4662" ht="19.7" customHeight="1" x14ac:dyDescent="0.25"/>
    <row r="4663" ht="19.7" customHeight="1" x14ac:dyDescent="0.25"/>
    <row r="4664" ht="19.7" customHeight="1" x14ac:dyDescent="0.25"/>
    <row r="4665" ht="19.7" customHeight="1" x14ac:dyDescent="0.25"/>
    <row r="4666" ht="19.7" customHeight="1" x14ac:dyDescent="0.25"/>
    <row r="4667" ht="19.7" customHeight="1" x14ac:dyDescent="0.25"/>
    <row r="4668" ht="19.7" customHeight="1" x14ac:dyDescent="0.25"/>
    <row r="4669" ht="19.7" customHeight="1" x14ac:dyDescent="0.25"/>
    <row r="4670" ht="19.7" customHeight="1" x14ac:dyDescent="0.25"/>
    <row r="4671" ht="19.7" customHeight="1" x14ac:dyDescent="0.25"/>
    <row r="4672" ht="19.7" customHeight="1" x14ac:dyDescent="0.25"/>
    <row r="4673" ht="19.7" customHeight="1" x14ac:dyDescent="0.25"/>
    <row r="4674" ht="19.7" customHeight="1" x14ac:dyDescent="0.25"/>
    <row r="4675" ht="19.7" customHeight="1" x14ac:dyDescent="0.25"/>
    <row r="4676" ht="19.7" customHeight="1" x14ac:dyDescent="0.25"/>
    <row r="4677" ht="19.7" customHeight="1" x14ac:dyDescent="0.25"/>
    <row r="4678" ht="19.7" customHeight="1" x14ac:dyDescent="0.25"/>
    <row r="4679" ht="19.7" customHeight="1" x14ac:dyDescent="0.25"/>
    <row r="4680" ht="19.7" customHeight="1" x14ac:dyDescent="0.25"/>
    <row r="4681" ht="19.7" customHeight="1" x14ac:dyDescent="0.25"/>
    <row r="4682" ht="19.7" customHeight="1" x14ac:dyDescent="0.25"/>
    <row r="4683" ht="19.7" customHeight="1" x14ac:dyDescent="0.25"/>
    <row r="4684" ht="19.7" customHeight="1" x14ac:dyDescent="0.25"/>
    <row r="4685" ht="19.7" customHeight="1" x14ac:dyDescent="0.25"/>
    <row r="4686" ht="19.7" customHeight="1" x14ac:dyDescent="0.25"/>
    <row r="4687" ht="19.7" customHeight="1" x14ac:dyDescent="0.25"/>
    <row r="4688" ht="19.7" customHeight="1" x14ac:dyDescent="0.25"/>
    <row r="4689" ht="19.7" customHeight="1" x14ac:dyDescent="0.25"/>
    <row r="4690" ht="19.7" customHeight="1" x14ac:dyDescent="0.25"/>
    <row r="4691" ht="19.7" customHeight="1" x14ac:dyDescent="0.25"/>
    <row r="4692" ht="19.7" customHeight="1" x14ac:dyDescent="0.25"/>
    <row r="4693" ht="19.7" customHeight="1" x14ac:dyDescent="0.25"/>
    <row r="4694" ht="19.7" customHeight="1" x14ac:dyDescent="0.25"/>
    <row r="4695" ht="19.7" customHeight="1" x14ac:dyDescent="0.25"/>
    <row r="4696" ht="19.7" customHeight="1" x14ac:dyDescent="0.25"/>
    <row r="4697" ht="19.7" customHeight="1" x14ac:dyDescent="0.25"/>
    <row r="4698" ht="19.7" customHeight="1" x14ac:dyDescent="0.25"/>
    <row r="4699" ht="19.7" customHeight="1" x14ac:dyDescent="0.25"/>
    <row r="4700" ht="19.7" customHeight="1" x14ac:dyDescent="0.25"/>
    <row r="4701" ht="19.7" customHeight="1" x14ac:dyDescent="0.25"/>
    <row r="4702" ht="19.7" customHeight="1" x14ac:dyDescent="0.25"/>
    <row r="4703" ht="19.7" customHeight="1" x14ac:dyDescent="0.25"/>
    <row r="4704" ht="19.7" customHeight="1" x14ac:dyDescent="0.25"/>
    <row r="4705" ht="19.7" customHeight="1" x14ac:dyDescent="0.25"/>
    <row r="4706" ht="19.7" customHeight="1" x14ac:dyDescent="0.25"/>
    <row r="4707" ht="19.7" customHeight="1" x14ac:dyDescent="0.25"/>
    <row r="4708" ht="19.7" customHeight="1" x14ac:dyDescent="0.25"/>
    <row r="4709" ht="19.7" customHeight="1" x14ac:dyDescent="0.25"/>
    <row r="4710" ht="19.7" customHeight="1" x14ac:dyDescent="0.25"/>
    <row r="4711" ht="19.7" customHeight="1" x14ac:dyDescent="0.25"/>
    <row r="4712" ht="19.7" customHeight="1" x14ac:dyDescent="0.25"/>
    <row r="4713" ht="19.7" customHeight="1" x14ac:dyDescent="0.25"/>
    <row r="4714" ht="19.7" customHeight="1" x14ac:dyDescent="0.25"/>
    <row r="4715" ht="19.7" customHeight="1" x14ac:dyDescent="0.25"/>
    <row r="4716" ht="19.7" customHeight="1" x14ac:dyDescent="0.25"/>
    <row r="4717" ht="19.7" customHeight="1" x14ac:dyDescent="0.25"/>
    <row r="4718" ht="19.7" customHeight="1" x14ac:dyDescent="0.25"/>
    <row r="4719" ht="19.7" customHeight="1" x14ac:dyDescent="0.25"/>
    <row r="4720" ht="19.7" customHeight="1" x14ac:dyDescent="0.25"/>
    <row r="4721" ht="19.7" customHeight="1" x14ac:dyDescent="0.25"/>
    <row r="4722" ht="19.7" customHeight="1" x14ac:dyDescent="0.25"/>
    <row r="4723" ht="19.7" customHeight="1" x14ac:dyDescent="0.25"/>
    <row r="4724" ht="19.7" customHeight="1" x14ac:dyDescent="0.25"/>
    <row r="4725" ht="19.7" customHeight="1" x14ac:dyDescent="0.25"/>
    <row r="4726" ht="19.7" customHeight="1" x14ac:dyDescent="0.25"/>
    <row r="4727" ht="19.7" customHeight="1" x14ac:dyDescent="0.25"/>
    <row r="4728" ht="19.7" customHeight="1" x14ac:dyDescent="0.25"/>
    <row r="4729" ht="19.7" customHeight="1" x14ac:dyDescent="0.25"/>
    <row r="4730" ht="19.7" customHeight="1" x14ac:dyDescent="0.25"/>
    <row r="4731" ht="19.7" customHeight="1" x14ac:dyDescent="0.25"/>
    <row r="4732" ht="19.7" customHeight="1" x14ac:dyDescent="0.25"/>
    <row r="4733" ht="19.7" customHeight="1" x14ac:dyDescent="0.25"/>
    <row r="4734" ht="19.7" customHeight="1" x14ac:dyDescent="0.25"/>
    <row r="4735" ht="19.7" customHeight="1" x14ac:dyDescent="0.25"/>
    <row r="4736" ht="19.7" customHeight="1" x14ac:dyDescent="0.25"/>
    <row r="4737" ht="19.7" customHeight="1" x14ac:dyDescent="0.25"/>
    <row r="4738" ht="19.7" customHeight="1" x14ac:dyDescent="0.25"/>
    <row r="4739" ht="19.7" customHeight="1" x14ac:dyDescent="0.25"/>
    <row r="4740" ht="19.7" customHeight="1" x14ac:dyDescent="0.25"/>
    <row r="4741" ht="19.7" customHeight="1" x14ac:dyDescent="0.25"/>
    <row r="4742" ht="19.7" customHeight="1" x14ac:dyDescent="0.25"/>
    <row r="4743" ht="19.7" customHeight="1" x14ac:dyDescent="0.25"/>
    <row r="4744" ht="19.7" customHeight="1" x14ac:dyDescent="0.25"/>
    <row r="4745" ht="19.7" customHeight="1" x14ac:dyDescent="0.25"/>
    <row r="4746" ht="19.7" customHeight="1" x14ac:dyDescent="0.25"/>
    <row r="4747" ht="19.7" customHeight="1" x14ac:dyDescent="0.25"/>
    <row r="4748" ht="19.7" customHeight="1" x14ac:dyDescent="0.25"/>
    <row r="4749" ht="19.7" customHeight="1" x14ac:dyDescent="0.25"/>
    <row r="4750" ht="19.7" customHeight="1" x14ac:dyDescent="0.25"/>
    <row r="4751" ht="19.7" customHeight="1" x14ac:dyDescent="0.25"/>
    <row r="4752" ht="19.7" customHeight="1" x14ac:dyDescent="0.25"/>
    <row r="4753" ht="19.7" customHeight="1" x14ac:dyDescent="0.25"/>
    <row r="4754" ht="19.7" customHeight="1" x14ac:dyDescent="0.25"/>
    <row r="4755" ht="19.7" customHeight="1" x14ac:dyDescent="0.25"/>
    <row r="4756" ht="19.7" customHeight="1" x14ac:dyDescent="0.25"/>
    <row r="4757" ht="19.7" customHeight="1" x14ac:dyDescent="0.25"/>
    <row r="4758" ht="19.7" customHeight="1" x14ac:dyDescent="0.25"/>
    <row r="4759" ht="19.7" customHeight="1" x14ac:dyDescent="0.25"/>
    <row r="4760" ht="19.7" customHeight="1" x14ac:dyDescent="0.25"/>
    <row r="4761" ht="19.7" customHeight="1" x14ac:dyDescent="0.25"/>
    <row r="4762" ht="19.7" customHeight="1" x14ac:dyDescent="0.25"/>
    <row r="4763" ht="19.7" customHeight="1" x14ac:dyDescent="0.25"/>
    <row r="4764" ht="19.7" customHeight="1" x14ac:dyDescent="0.25"/>
    <row r="4765" ht="19.7" customHeight="1" x14ac:dyDescent="0.25"/>
    <row r="4766" ht="19.7" customHeight="1" x14ac:dyDescent="0.25"/>
    <row r="4767" ht="19.7" customHeight="1" x14ac:dyDescent="0.25"/>
    <row r="4768" ht="19.7" customHeight="1" x14ac:dyDescent="0.25"/>
    <row r="4769" ht="19.7" customHeight="1" x14ac:dyDescent="0.25"/>
    <row r="4770" ht="19.7" customHeight="1" x14ac:dyDescent="0.25"/>
    <row r="4771" ht="19.7" customHeight="1" x14ac:dyDescent="0.25"/>
    <row r="4772" ht="19.7" customHeight="1" x14ac:dyDescent="0.25"/>
    <row r="4773" ht="19.7" customHeight="1" x14ac:dyDescent="0.25"/>
    <row r="4774" ht="19.7" customHeight="1" x14ac:dyDescent="0.25"/>
    <row r="4775" ht="19.7" customHeight="1" x14ac:dyDescent="0.25"/>
    <row r="4776" ht="19.7" customHeight="1" x14ac:dyDescent="0.25"/>
    <row r="4777" ht="19.7" customHeight="1" x14ac:dyDescent="0.25"/>
    <row r="4778" ht="19.7" customHeight="1" x14ac:dyDescent="0.25"/>
    <row r="4779" ht="19.7" customHeight="1" x14ac:dyDescent="0.25"/>
    <row r="4780" ht="19.7" customHeight="1" x14ac:dyDescent="0.25"/>
    <row r="4781" ht="19.7" customHeight="1" x14ac:dyDescent="0.25"/>
    <row r="4782" ht="19.7" customHeight="1" x14ac:dyDescent="0.25"/>
    <row r="4783" ht="19.7" customHeight="1" x14ac:dyDescent="0.25"/>
    <row r="4784" ht="19.7" customHeight="1" x14ac:dyDescent="0.25"/>
    <row r="4785" ht="19.7" customHeight="1" x14ac:dyDescent="0.25"/>
    <row r="4786" ht="19.7" customHeight="1" x14ac:dyDescent="0.25"/>
    <row r="4787" ht="19.7" customHeight="1" x14ac:dyDescent="0.25"/>
    <row r="4788" ht="19.7" customHeight="1" x14ac:dyDescent="0.25"/>
    <row r="4789" ht="19.7" customHeight="1" x14ac:dyDescent="0.25"/>
    <row r="4790" ht="19.7" customHeight="1" x14ac:dyDescent="0.25"/>
    <row r="4791" ht="19.7" customHeight="1" x14ac:dyDescent="0.25"/>
    <row r="4792" ht="19.7" customHeight="1" x14ac:dyDescent="0.25"/>
    <row r="4793" ht="19.7" customHeight="1" x14ac:dyDescent="0.25"/>
    <row r="4794" ht="19.7" customHeight="1" x14ac:dyDescent="0.25"/>
    <row r="4795" ht="19.7" customHeight="1" x14ac:dyDescent="0.25"/>
    <row r="4796" ht="19.7" customHeight="1" x14ac:dyDescent="0.25"/>
    <row r="4797" ht="19.7" customHeight="1" x14ac:dyDescent="0.25"/>
    <row r="4798" ht="19.7" customHeight="1" x14ac:dyDescent="0.25"/>
    <row r="4799" ht="19.7" customHeight="1" x14ac:dyDescent="0.25"/>
    <row r="4800" ht="19.7" customHeight="1" x14ac:dyDescent="0.25"/>
    <row r="4801" ht="19.7" customHeight="1" x14ac:dyDescent="0.25"/>
    <row r="4802" ht="19.7" customHeight="1" x14ac:dyDescent="0.25"/>
    <row r="4803" ht="19.7" customHeight="1" x14ac:dyDescent="0.25"/>
    <row r="4804" ht="19.7" customHeight="1" x14ac:dyDescent="0.25"/>
    <row r="4805" ht="19.7" customHeight="1" x14ac:dyDescent="0.25"/>
    <row r="4806" ht="19.7" customHeight="1" x14ac:dyDescent="0.25"/>
    <row r="4807" ht="19.7" customHeight="1" x14ac:dyDescent="0.25"/>
    <row r="4808" ht="19.7" customHeight="1" x14ac:dyDescent="0.25"/>
    <row r="4809" ht="19.7" customHeight="1" x14ac:dyDescent="0.25"/>
    <row r="4810" ht="19.7" customHeight="1" x14ac:dyDescent="0.25"/>
    <row r="4811" ht="19.7" customHeight="1" x14ac:dyDescent="0.25"/>
    <row r="4812" ht="19.7" customHeight="1" x14ac:dyDescent="0.25"/>
    <row r="4813" ht="19.7" customHeight="1" x14ac:dyDescent="0.25"/>
    <row r="4814" ht="19.7" customHeight="1" x14ac:dyDescent="0.25"/>
    <row r="4815" ht="19.7" customHeight="1" x14ac:dyDescent="0.25"/>
    <row r="4816" ht="19.7" customHeight="1" x14ac:dyDescent="0.25"/>
    <row r="4817" ht="19.7" customHeight="1" x14ac:dyDescent="0.25"/>
    <row r="4818" ht="19.7" customHeight="1" x14ac:dyDescent="0.25"/>
    <row r="4819" ht="19.7" customHeight="1" x14ac:dyDescent="0.25"/>
    <row r="4820" ht="19.7" customHeight="1" x14ac:dyDescent="0.25"/>
    <row r="4821" ht="19.7" customHeight="1" x14ac:dyDescent="0.25"/>
    <row r="4822" ht="19.7" customHeight="1" x14ac:dyDescent="0.25"/>
    <row r="4823" ht="19.7" customHeight="1" x14ac:dyDescent="0.25"/>
    <row r="4824" ht="19.7" customHeight="1" x14ac:dyDescent="0.25"/>
    <row r="4825" ht="19.7" customHeight="1" x14ac:dyDescent="0.25"/>
    <row r="4826" ht="19.7" customHeight="1" x14ac:dyDescent="0.25"/>
    <row r="4827" ht="19.7" customHeight="1" x14ac:dyDescent="0.25"/>
    <row r="4828" ht="19.7" customHeight="1" x14ac:dyDescent="0.25"/>
    <row r="4829" ht="19.7" customHeight="1" x14ac:dyDescent="0.25"/>
    <row r="4830" ht="19.7" customHeight="1" x14ac:dyDescent="0.25"/>
    <row r="4831" ht="19.7" customHeight="1" x14ac:dyDescent="0.25"/>
    <row r="4832" ht="19.7" customHeight="1" x14ac:dyDescent="0.25"/>
    <row r="4833" ht="19.7" customHeight="1" x14ac:dyDescent="0.25"/>
    <row r="4834" ht="19.7" customHeight="1" x14ac:dyDescent="0.25"/>
    <row r="4835" ht="19.7" customHeight="1" x14ac:dyDescent="0.25"/>
    <row r="4836" ht="19.7" customHeight="1" x14ac:dyDescent="0.25"/>
    <row r="4837" ht="19.7" customHeight="1" x14ac:dyDescent="0.25"/>
    <row r="4838" ht="19.7" customHeight="1" x14ac:dyDescent="0.25"/>
    <row r="4839" ht="19.7" customHeight="1" x14ac:dyDescent="0.25"/>
    <row r="4840" ht="19.7" customHeight="1" x14ac:dyDescent="0.25"/>
    <row r="4841" ht="19.7" customHeight="1" x14ac:dyDescent="0.25"/>
    <row r="4842" ht="19.7" customHeight="1" x14ac:dyDescent="0.25"/>
    <row r="4843" ht="19.7" customHeight="1" x14ac:dyDescent="0.25"/>
    <row r="4844" ht="19.7" customHeight="1" x14ac:dyDescent="0.25"/>
    <row r="4845" ht="19.7" customHeight="1" x14ac:dyDescent="0.25"/>
    <row r="4846" ht="19.7" customHeight="1" x14ac:dyDescent="0.25"/>
    <row r="4847" ht="19.7" customHeight="1" x14ac:dyDescent="0.25"/>
    <row r="4848" ht="19.7" customHeight="1" x14ac:dyDescent="0.25"/>
    <row r="4849" ht="19.7" customHeight="1" x14ac:dyDescent="0.25"/>
    <row r="4850" ht="19.7" customHeight="1" x14ac:dyDescent="0.25"/>
    <row r="4851" ht="19.7" customHeight="1" x14ac:dyDescent="0.25"/>
    <row r="4852" ht="19.7" customHeight="1" x14ac:dyDescent="0.25"/>
    <row r="4853" ht="19.7" customHeight="1" x14ac:dyDescent="0.25"/>
    <row r="4854" ht="19.7" customHeight="1" x14ac:dyDescent="0.25"/>
    <row r="4855" ht="19.7" customHeight="1" x14ac:dyDescent="0.25"/>
    <row r="4856" ht="19.7" customHeight="1" x14ac:dyDescent="0.25"/>
    <row r="4857" ht="19.7" customHeight="1" x14ac:dyDescent="0.25"/>
    <row r="4858" ht="19.7" customHeight="1" x14ac:dyDescent="0.25"/>
    <row r="4859" ht="19.7" customHeight="1" x14ac:dyDescent="0.25"/>
    <row r="4860" ht="19.7" customHeight="1" x14ac:dyDescent="0.25"/>
    <row r="4861" ht="19.7" customHeight="1" x14ac:dyDescent="0.25"/>
    <row r="4862" ht="19.7" customHeight="1" x14ac:dyDescent="0.25"/>
    <row r="4863" ht="19.7" customHeight="1" x14ac:dyDescent="0.25"/>
    <row r="4864" ht="19.7" customHeight="1" x14ac:dyDescent="0.25"/>
    <row r="4865" ht="19.7" customHeight="1" x14ac:dyDescent="0.25"/>
    <row r="4866" ht="19.7" customHeight="1" x14ac:dyDescent="0.25"/>
    <row r="4867" ht="19.7" customHeight="1" x14ac:dyDescent="0.25"/>
    <row r="4868" ht="19.7" customHeight="1" x14ac:dyDescent="0.25"/>
    <row r="4869" ht="19.7" customHeight="1" x14ac:dyDescent="0.25"/>
    <row r="4870" ht="19.7" customHeight="1" x14ac:dyDescent="0.25"/>
    <row r="4871" ht="19.7" customHeight="1" x14ac:dyDescent="0.25"/>
    <row r="4872" ht="19.7" customHeight="1" x14ac:dyDescent="0.25"/>
    <row r="4873" ht="19.7" customHeight="1" x14ac:dyDescent="0.25"/>
    <row r="4874" ht="19.7" customHeight="1" x14ac:dyDescent="0.25"/>
    <row r="4875" ht="19.7" customHeight="1" x14ac:dyDescent="0.25"/>
    <row r="4876" ht="19.7" customHeight="1" x14ac:dyDescent="0.25"/>
    <row r="4877" ht="19.7" customHeight="1" x14ac:dyDescent="0.25"/>
    <row r="4878" ht="19.7" customHeight="1" x14ac:dyDescent="0.25"/>
    <row r="4879" ht="19.7" customHeight="1" x14ac:dyDescent="0.25"/>
    <row r="4880" ht="19.7" customHeight="1" x14ac:dyDescent="0.25"/>
    <row r="4881" ht="19.7" customHeight="1" x14ac:dyDescent="0.25"/>
    <row r="4882" ht="19.7" customHeight="1" x14ac:dyDescent="0.25"/>
    <row r="4883" ht="19.7" customHeight="1" x14ac:dyDescent="0.25"/>
    <row r="4884" ht="19.7" customHeight="1" x14ac:dyDescent="0.25"/>
    <row r="4885" ht="19.7" customHeight="1" x14ac:dyDescent="0.25"/>
    <row r="4886" ht="19.7" customHeight="1" x14ac:dyDescent="0.25"/>
    <row r="4887" ht="19.7" customHeight="1" x14ac:dyDescent="0.25"/>
    <row r="4888" ht="19.7" customHeight="1" x14ac:dyDescent="0.25"/>
    <row r="4889" ht="19.7" customHeight="1" x14ac:dyDescent="0.25"/>
    <row r="4890" ht="19.7" customHeight="1" x14ac:dyDescent="0.25"/>
    <row r="4891" ht="19.7" customHeight="1" x14ac:dyDescent="0.25"/>
    <row r="4892" ht="19.7" customHeight="1" x14ac:dyDescent="0.25"/>
    <row r="4893" ht="19.7" customHeight="1" x14ac:dyDescent="0.25"/>
    <row r="4894" ht="19.7" customHeight="1" x14ac:dyDescent="0.25"/>
    <row r="4895" ht="19.7" customHeight="1" x14ac:dyDescent="0.25"/>
    <row r="4896" ht="19.7" customHeight="1" x14ac:dyDescent="0.25"/>
    <row r="4897" ht="19.7" customHeight="1" x14ac:dyDescent="0.25"/>
    <row r="4898" ht="19.7" customHeight="1" x14ac:dyDescent="0.25"/>
    <row r="4899" ht="19.7" customHeight="1" x14ac:dyDescent="0.25"/>
    <row r="4900" ht="19.7" customHeight="1" x14ac:dyDescent="0.25"/>
    <row r="4901" ht="19.7" customHeight="1" x14ac:dyDescent="0.25"/>
    <row r="4902" ht="19.7" customHeight="1" x14ac:dyDescent="0.25"/>
    <row r="4903" ht="19.7" customHeight="1" x14ac:dyDescent="0.25"/>
    <row r="4904" ht="19.7" customHeight="1" x14ac:dyDescent="0.25"/>
    <row r="4905" ht="19.7" customHeight="1" x14ac:dyDescent="0.25"/>
    <row r="4906" ht="19.7" customHeight="1" x14ac:dyDescent="0.25"/>
    <row r="4907" ht="19.7" customHeight="1" x14ac:dyDescent="0.25"/>
    <row r="4908" ht="19.7" customHeight="1" x14ac:dyDescent="0.25"/>
    <row r="4909" ht="19.7" customHeight="1" x14ac:dyDescent="0.25"/>
    <row r="4910" ht="19.7" customHeight="1" x14ac:dyDescent="0.25"/>
    <row r="4911" ht="19.7" customHeight="1" x14ac:dyDescent="0.25"/>
    <row r="4912" ht="19.7" customHeight="1" x14ac:dyDescent="0.25"/>
    <row r="4913" ht="19.7" customHeight="1" x14ac:dyDescent="0.25"/>
    <row r="4914" ht="19.7" customHeight="1" x14ac:dyDescent="0.25"/>
    <row r="4915" ht="19.7" customHeight="1" x14ac:dyDescent="0.25"/>
    <row r="4916" ht="19.7" customHeight="1" x14ac:dyDescent="0.25"/>
    <row r="4917" ht="19.7" customHeight="1" x14ac:dyDescent="0.25"/>
    <row r="4918" ht="19.7" customHeight="1" x14ac:dyDescent="0.25"/>
    <row r="4919" ht="19.7" customHeight="1" x14ac:dyDescent="0.25"/>
    <row r="4920" ht="19.7" customHeight="1" x14ac:dyDescent="0.25"/>
    <row r="4921" ht="19.7" customHeight="1" x14ac:dyDescent="0.25"/>
    <row r="4922" ht="19.7" customHeight="1" x14ac:dyDescent="0.25"/>
    <row r="4923" ht="19.7" customHeight="1" x14ac:dyDescent="0.25"/>
    <row r="4924" ht="19.7" customHeight="1" x14ac:dyDescent="0.25"/>
    <row r="4925" ht="19.7" customHeight="1" x14ac:dyDescent="0.25"/>
    <row r="4926" ht="19.7" customHeight="1" x14ac:dyDescent="0.25"/>
    <row r="4927" ht="19.7" customHeight="1" x14ac:dyDescent="0.25"/>
    <row r="4928" ht="19.7" customHeight="1" x14ac:dyDescent="0.25"/>
    <row r="4929" ht="19.7" customHeight="1" x14ac:dyDescent="0.25"/>
    <row r="4930" ht="19.7" customHeight="1" x14ac:dyDescent="0.25"/>
    <row r="4931" ht="19.7" customHeight="1" x14ac:dyDescent="0.25"/>
    <row r="4932" ht="19.7" customHeight="1" x14ac:dyDescent="0.25"/>
    <row r="4933" ht="19.7" customHeight="1" x14ac:dyDescent="0.25"/>
    <row r="4934" ht="19.7" customHeight="1" x14ac:dyDescent="0.25"/>
    <row r="4935" ht="19.7" customHeight="1" x14ac:dyDescent="0.25"/>
    <row r="4936" ht="19.7" customHeight="1" x14ac:dyDescent="0.25"/>
    <row r="4937" ht="19.7" customHeight="1" x14ac:dyDescent="0.25"/>
    <row r="4938" ht="19.7" customHeight="1" x14ac:dyDescent="0.25"/>
    <row r="4939" ht="19.7" customHeight="1" x14ac:dyDescent="0.25"/>
    <row r="4940" ht="19.7" customHeight="1" x14ac:dyDescent="0.25"/>
    <row r="4941" ht="19.7" customHeight="1" x14ac:dyDescent="0.25"/>
    <row r="4942" ht="19.7" customHeight="1" x14ac:dyDescent="0.25"/>
    <row r="4943" ht="19.7" customHeight="1" x14ac:dyDescent="0.25"/>
    <row r="4944" ht="19.7" customHeight="1" x14ac:dyDescent="0.25"/>
    <row r="4945" ht="19.7" customHeight="1" x14ac:dyDescent="0.25"/>
    <row r="4946" ht="19.7" customHeight="1" x14ac:dyDescent="0.25"/>
    <row r="4947" ht="19.7" customHeight="1" x14ac:dyDescent="0.25"/>
    <row r="4948" ht="19.7" customHeight="1" x14ac:dyDescent="0.25"/>
    <row r="4949" ht="19.7" customHeight="1" x14ac:dyDescent="0.25"/>
    <row r="4950" ht="19.7" customHeight="1" x14ac:dyDescent="0.25"/>
    <row r="4951" ht="19.7" customHeight="1" x14ac:dyDescent="0.25"/>
    <row r="4952" ht="19.7" customHeight="1" x14ac:dyDescent="0.25"/>
    <row r="4953" ht="19.7" customHeight="1" x14ac:dyDescent="0.25"/>
    <row r="4954" ht="19.7" customHeight="1" x14ac:dyDescent="0.25"/>
    <row r="4955" ht="19.7" customHeight="1" x14ac:dyDescent="0.25"/>
    <row r="4956" ht="19.7" customHeight="1" x14ac:dyDescent="0.25"/>
    <row r="4957" ht="19.7" customHeight="1" x14ac:dyDescent="0.25"/>
    <row r="4958" ht="19.7" customHeight="1" x14ac:dyDescent="0.25"/>
    <row r="4959" ht="19.7" customHeight="1" x14ac:dyDescent="0.25"/>
    <row r="4960" ht="19.7" customHeight="1" x14ac:dyDescent="0.25"/>
    <row r="4961" ht="19.7" customHeight="1" x14ac:dyDescent="0.25"/>
    <row r="4962" ht="19.7" customHeight="1" x14ac:dyDescent="0.25"/>
    <row r="4963" ht="19.7" customHeight="1" x14ac:dyDescent="0.25"/>
    <row r="4964" ht="19.7" customHeight="1" x14ac:dyDescent="0.25"/>
    <row r="4965" ht="19.7" customHeight="1" x14ac:dyDescent="0.25"/>
    <row r="4966" ht="19.7" customHeight="1" x14ac:dyDescent="0.25"/>
    <row r="4967" ht="19.7" customHeight="1" x14ac:dyDescent="0.25"/>
    <row r="4968" ht="19.7" customHeight="1" x14ac:dyDescent="0.25"/>
    <row r="4969" ht="19.7" customHeight="1" x14ac:dyDescent="0.25"/>
    <row r="4970" ht="19.7" customHeight="1" x14ac:dyDescent="0.25"/>
    <row r="4971" ht="19.7" customHeight="1" x14ac:dyDescent="0.25"/>
    <row r="4972" ht="19.7" customHeight="1" x14ac:dyDescent="0.25"/>
    <row r="4973" ht="19.7" customHeight="1" x14ac:dyDescent="0.25"/>
    <row r="4974" ht="19.7" customHeight="1" x14ac:dyDescent="0.25"/>
    <row r="4975" ht="19.7" customHeight="1" x14ac:dyDescent="0.25"/>
    <row r="4976" ht="19.7" customHeight="1" x14ac:dyDescent="0.25"/>
    <row r="4977" ht="19.7" customHeight="1" x14ac:dyDescent="0.25"/>
    <row r="4978" ht="19.7" customHeight="1" x14ac:dyDescent="0.25"/>
    <row r="4979" ht="19.7" customHeight="1" x14ac:dyDescent="0.25"/>
    <row r="4980" ht="19.7" customHeight="1" x14ac:dyDescent="0.25"/>
    <row r="4981" ht="19.7" customHeight="1" x14ac:dyDescent="0.25"/>
    <row r="4982" ht="19.7" customHeight="1" x14ac:dyDescent="0.25"/>
    <row r="4983" ht="19.7" customHeight="1" x14ac:dyDescent="0.25"/>
    <row r="4984" ht="19.7" customHeight="1" x14ac:dyDescent="0.25"/>
    <row r="4985" ht="19.7" customHeight="1" x14ac:dyDescent="0.25"/>
    <row r="4986" ht="19.7" customHeight="1" x14ac:dyDescent="0.25"/>
    <row r="4987" ht="19.7" customHeight="1" x14ac:dyDescent="0.25"/>
    <row r="4988" ht="19.7" customHeight="1" x14ac:dyDescent="0.25"/>
    <row r="4989" ht="19.7" customHeight="1" x14ac:dyDescent="0.25"/>
    <row r="4990" ht="19.7" customHeight="1" x14ac:dyDescent="0.25"/>
    <row r="4991" ht="19.7" customHeight="1" x14ac:dyDescent="0.25"/>
    <row r="4992" ht="19.7" customHeight="1" x14ac:dyDescent="0.25"/>
    <row r="4993" ht="19.7" customHeight="1" x14ac:dyDescent="0.25"/>
    <row r="4994" ht="19.7" customHeight="1" x14ac:dyDescent="0.25"/>
    <row r="4995" ht="19.7" customHeight="1" x14ac:dyDescent="0.25"/>
    <row r="4996" ht="19.7" customHeight="1" x14ac:dyDescent="0.25"/>
    <row r="4997" ht="19.7" customHeight="1" x14ac:dyDescent="0.25"/>
    <row r="4998" ht="19.7" customHeight="1" x14ac:dyDescent="0.25"/>
    <row r="4999" ht="19.7" customHeight="1" x14ac:dyDescent="0.25"/>
    <row r="5000" ht="19.7" customHeight="1" x14ac:dyDescent="0.25"/>
    <row r="5001" ht="19.7" customHeight="1" x14ac:dyDescent="0.25"/>
    <row r="5002" ht="19.7" customHeight="1" x14ac:dyDescent="0.25"/>
    <row r="5003" ht="19.7" customHeight="1" x14ac:dyDescent="0.25"/>
    <row r="5004" ht="19.7" customHeight="1" x14ac:dyDescent="0.25"/>
    <row r="5005" ht="19.7" customHeight="1" x14ac:dyDescent="0.25"/>
    <row r="5006" ht="19.7" customHeight="1" x14ac:dyDescent="0.25"/>
    <row r="5007" ht="19.7" customHeight="1" x14ac:dyDescent="0.25"/>
    <row r="5008" ht="19.7" customHeight="1" x14ac:dyDescent="0.25"/>
    <row r="5009" ht="19.7" customHeight="1" x14ac:dyDescent="0.25"/>
    <row r="5010" ht="19.7" customHeight="1" x14ac:dyDescent="0.25"/>
    <row r="5011" ht="19.7" customHeight="1" x14ac:dyDescent="0.25"/>
    <row r="5012" ht="19.7" customHeight="1" x14ac:dyDescent="0.25"/>
    <row r="5013" ht="19.7" customHeight="1" x14ac:dyDescent="0.25"/>
    <row r="5014" ht="19.7" customHeight="1" x14ac:dyDescent="0.25"/>
    <row r="5015" ht="19.7" customHeight="1" x14ac:dyDescent="0.25"/>
    <row r="5016" ht="19.7" customHeight="1" x14ac:dyDescent="0.25"/>
    <row r="5017" ht="19.7" customHeight="1" x14ac:dyDescent="0.25"/>
    <row r="5018" ht="19.7" customHeight="1" x14ac:dyDescent="0.25"/>
    <row r="5019" ht="19.7" customHeight="1" x14ac:dyDescent="0.25"/>
    <row r="5020" ht="19.7" customHeight="1" x14ac:dyDescent="0.25"/>
    <row r="5021" ht="19.7" customHeight="1" x14ac:dyDescent="0.25"/>
    <row r="5022" ht="19.7" customHeight="1" x14ac:dyDescent="0.25"/>
    <row r="5023" ht="19.7" customHeight="1" x14ac:dyDescent="0.25"/>
    <row r="5024" ht="19.7" customHeight="1" x14ac:dyDescent="0.25"/>
    <row r="5025" ht="19.7" customHeight="1" x14ac:dyDescent="0.25"/>
    <row r="5026" ht="19.7" customHeight="1" x14ac:dyDescent="0.25"/>
    <row r="5027" ht="19.7" customHeight="1" x14ac:dyDescent="0.25"/>
    <row r="5028" ht="19.7" customHeight="1" x14ac:dyDescent="0.25"/>
    <row r="5029" ht="19.7" customHeight="1" x14ac:dyDescent="0.25"/>
    <row r="5030" ht="19.7" customHeight="1" x14ac:dyDescent="0.25"/>
    <row r="5031" ht="19.7" customHeight="1" x14ac:dyDescent="0.25"/>
    <row r="5032" ht="19.7" customHeight="1" x14ac:dyDescent="0.25"/>
    <row r="5033" ht="19.7" customHeight="1" x14ac:dyDescent="0.25"/>
    <row r="5034" ht="19.7" customHeight="1" x14ac:dyDescent="0.25"/>
    <row r="5035" ht="19.7" customHeight="1" x14ac:dyDescent="0.25"/>
    <row r="5036" ht="19.7" customHeight="1" x14ac:dyDescent="0.25"/>
    <row r="5037" ht="19.7" customHeight="1" x14ac:dyDescent="0.25"/>
    <row r="5038" ht="19.7" customHeight="1" x14ac:dyDescent="0.25"/>
    <row r="5039" ht="19.7" customHeight="1" x14ac:dyDescent="0.25"/>
    <row r="5040" ht="19.7" customHeight="1" x14ac:dyDescent="0.25"/>
    <row r="5041" ht="19.7" customHeight="1" x14ac:dyDescent="0.25"/>
    <row r="5042" ht="19.7" customHeight="1" x14ac:dyDescent="0.25"/>
    <row r="5043" ht="19.7" customHeight="1" x14ac:dyDescent="0.25"/>
    <row r="5044" ht="19.7" customHeight="1" x14ac:dyDescent="0.25"/>
    <row r="5045" ht="19.7" customHeight="1" x14ac:dyDescent="0.25"/>
    <row r="5046" ht="19.7" customHeight="1" x14ac:dyDescent="0.25"/>
    <row r="5047" ht="19.7" customHeight="1" x14ac:dyDescent="0.25"/>
    <row r="5048" ht="19.7" customHeight="1" x14ac:dyDescent="0.25"/>
    <row r="5049" ht="19.7" customHeight="1" x14ac:dyDescent="0.25"/>
    <row r="5050" ht="19.7" customHeight="1" x14ac:dyDescent="0.25"/>
    <row r="5051" ht="19.7" customHeight="1" x14ac:dyDescent="0.25"/>
    <row r="5052" ht="19.7" customHeight="1" x14ac:dyDescent="0.25"/>
    <row r="5053" ht="19.7" customHeight="1" x14ac:dyDescent="0.25"/>
    <row r="5054" ht="19.7" customHeight="1" x14ac:dyDescent="0.25"/>
    <row r="5055" ht="19.7" customHeight="1" x14ac:dyDescent="0.25"/>
    <row r="5056" ht="19.7" customHeight="1" x14ac:dyDescent="0.25"/>
    <row r="5057" ht="19.7" customHeight="1" x14ac:dyDescent="0.25"/>
    <row r="5058" ht="19.7" customHeight="1" x14ac:dyDescent="0.25"/>
    <row r="5059" ht="19.7" customHeight="1" x14ac:dyDescent="0.25"/>
    <row r="5060" ht="19.7" customHeight="1" x14ac:dyDescent="0.25"/>
    <row r="5061" ht="19.7" customHeight="1" x14ac:dyDescent="0.25"/>
    <row r="5062" ht="19.7" customHeight="1" x14ac:dyDescent="0.25"/>
    <row r="5063" ht="19.7" customHeight="1" x14ac:dyDescent="0.25"/>
    <row r="5064" ht="19.7" customHeight="1" x14ac:dyDescent="0.25"/>
    <row r="5065" ht="19.7" customHeight="1" x14ac:dyDescent="0.25"/>
    <row r="5066" ht="19.7" customHeight="1" x14ac:dyDescent="0.25"/>
    <row r="5067" ht="19.7" customHeight="1" x14ac:dyDescent="0.25"/>
    <row r="5068" ht="19.7" customHeight="1" x14ac:dyDescent="0.25"/>
    <row r="5069" ht="19.7" customHeight="1" x14ac:dyDescent="0.25"/>
    <row r="5070" ht="19.7" customHeight="1" x14ac:dyDescent="0.25"/>
    <row r="5071" ht="19.7" customHeight="1" x14ac:dyDescent="0.25"/>
    <row r="5072" ht="19.7" customHeight="1" x14ac:dyDescent="0.25"/>
    <row r="5073" ht="19.7" customHeight="1" x14ac:dyDescent="0.25"/>
    <row r="5074" ht="19.7" customHeight="1" x14ac:dyDescent="0.25"/>
    <row r="5075" ht="19.7" customHeight="1" x14ac:dyDescent="0.25"/>
    <row r="5076" ht="19.7" customHeight="1" x14ac:dyDescent="0.25"/>
    <row r="5077" ht="19.7" customHeight="1" x14ac:dyDescent="0.25"/>
    <row r="5078" ht="19.7" customHeight="1" x14ac:dyDescent="0.25"/>
    <row r="5079" ht="19.7" customHeight="1" x14ac:dyDescent="0.25"/>
    <row r="5080" ht="19.7" customHeight="1" x14ac:dyDescent="0.25"/>
    <row r="5081" ht="19.7" customHeight="1" x14ac:dyDescent="0.25"/>
    <row r="5082" ht="19.7" customHeight="1" x14ac:dyDescent="0.25"/>
    <row r="5083" ht="19.7" customHeight="1" x14ac:dyDescent="0.25"/>
    <row r="5084" ht="19.7" customHeight="1" x14ac:dyDescent="0.25"/>
    <row r="5085" ht="19.7" customHeight="1" x14ac:dyDescent="0.25"/>
    <row r="5086" ht="19.7" customHeight="1" x14ac:dyDescent="0.25"/>
    <row r="5087" ht="19.7" customHeight="1" x14ac:dyDescent="0.25"/>
    <row r="5088" ht="19.7" customHeight="1" x14ac:dyDescent="0.25"/>
    <row r="5089" ht="19.7" customHeight="1" x14ac:dyDescent="0.25"/>
    <row r="5090" ht="19.7" customHeight="1" x14ac:dyDescent="0.25"/>
    <row r="5091" ht="19.7" customHeight="1" x14ac:dyDescent="0.25"/>
    <row r="5092" ht="19.7" customHeight="1" x14ac:dyDescent="0.25"/>
    <row r="5093" ht="19.7" customHeight="1" x14ac:dyDescent="0.25"/>
    <row r="5094" ht="19.7" customHeight="1" x14ac:dyDescent="0.25"/>
    <row r="5095" ht="19.7" customHeight="1" x14ac:dyDescent="0.25"/>
    <row r="5096" ht="19.7" customHeight="1" x14ac:dyDescent="0.25"/>
    <row r="5097" ht="19.7" customHeight="1" x14ac:dyDescent="0.25"/>
    <row r="5098" ht="19.7" customHeight="1" x14ac:dyDescent="0.25"/>
    <row r="5099" ht="19.7" customHeight="1" x14ac:dyDescent="0.25"/>
    <row r="5100" ht="19.7" customHeight="1" x14ac:dyDescent="0.25"/>
    <row r="5101" ht="19.7" customHeight="1" x14ac:dyDescent="0.25"/>
    <row r="5102" ht="19.7" customHeight="1" x14ac:dyDescent="0.25"/>
    <row r="5103" ht="19.7" customHeight="1" x14ac:dyDescent="0.25"/>
    <row r="5104" ht="19.7" customHeight="1" x14ac:dyDescent="0.25"/>
    <row r="5105" ht="19.7" customHeight="1" x14ac:dyDescent="0.25"/>
    <row r="5106" ht="19.7" customHeight="1" x14ac:dyDescent="0.25"/>
    <row r="5107" ht="19.7" customHeight="1" x14ac:dyDescent="0.25"/>
    <row r="5108" ht="19.7" customHeight="1" x14ac:dyDescent="0.25"/>
    <row r="5109" ht="19.7" customHeight="1" x14ac:dyDescent="0.25"/>
    <row r="5110" ht="19.7" customHeight="1" x14ac:dyDescent="0.25"/>
    <row r="5111" ht="19.7" customHeight="1" x14ac:dyDescent="0.25"/>
    <row r="5112" ht="19.7" customHeight="1" x14ac:dyDescent="0.25"/>
    <row r="5113" ht="19.7" customHeight="1" x14ac:dyDescent="0.25"/>
    <row r="5114" ht="19.7" customHeight="1" x14ac:dyDescent="0.25"/>
    <row r="5115" ht="19.7" customHeight="1" x14ac:dyDescent="0.25"/>
    <row r="5116" ht="19.7" customHeight="1" x14ac:dyDescent="0.25"/>
    <row r="5117" ht="19.7" customHeight="1" x14ac:dyDescent="0.25"/>
    <row r="5118" ht="19.7" customHeight="1" x14ac:dyDescent="0.25"/>
    <row r="5119" ht="19.7" customHeight="1" x14ac:dyDescent="0.25"/>
    <row r="5120" ht="19.7" customHeight="1" x14ac:dyDescent="0.25"/>
    <row r="5121" ht="19.7" customHeight="1" x14ac:dyDescent="0.25"/>
    <row r="5122" ht="19.7" customHeight="1" x14ac:dyDescent="0.25"/>
    <row r="5123" ht="19.7" customHeight="1" x14ac:dyDescent="0.25"/>
    <row r="5124" ht="19.7" customHeight="1" x14ac:dyDescent="0.25"/>
    <row r="5125" ht="19.7" customHeight="1" x14ac:dyDescent="0.25"/>
    <row r="5126" ht="19.7" customHeight="1" x14ac:dyDescent="0.25"/>
    <row r="5127" ht="19.7" customHeight="1" x14ac:dyDescent="0.25"/>
    <row r="5128" ht="19.7" customHeight="1" x14ac:dyDescent="0.25"/>
    <row r="5129" ht="19.7" customHeight="1" x14ac:dyDescent="0.25"/>
    <row r="5130" ht="19.7" customHeight="1" x14ac:dyDescent="0.25"/>
    <row r="5131" ht="19.7" customHeight="1" x14ac:dyDescent="0.25"/>
    <row r="5132" ht="19.7" customHeight="1" x14ac:dyDescent="0.25"/>
    <row r="5133" ht="19.7" customHeight="1" x14ac:dyDescent="0.25"/>
    <row r="5134" ht="19.7" customHeight="1" x14ac:dyDescent="0.25"/>
    <row r="5135" ht="19.7" customHeight="1" x14ac:dyDescent="0.25"/>
    <row r="5136" ht="19.7" customHeight="1" x14ac:dyDescent="0.25"/>
    <row r="5137" ht="19.7" customHeight="1" x14ac:dyDescent="0.25"/>
    <row r="5138" ht="19.7" customHeight="1" x14ac:dyDescent="0.25"/>
    <row r="5139" ht="19.7" customHeight="1" x14ac:dyDescent="0.25"/>
    <row r="5140" ht="19.7" customHeight="1" x14ac:dyDescent="0.25"/>
    <row r="5141" ht="19.7" customHeight="1" x14ac:dyDescent="0.25"/>
    <row r="5142" ht="19.7" customHeight="1" x14ac:dyDescent="0.25"/>
    <row r="5143" ht="19.7" customHeight="1" x14ac:dyDescent="0.25"/>
    <row r="5144" ht="19.7" customHeight="1" x14ac:dyDescent="0.25"/>
    <row r="5145" ht="19.7" customHeight="1" x14ac:dyDescent="0.25"/>
    <row r="5146" ht="19.7" customHeight="1" x14ac:dyDescent="0.25"/>
    <row r="5147" ht="19.7" customHeight="1" x14ac:dyDescent="0.25"/>
    <row r="5148" ht="19.7" customHeight="1" x14ac:dyDescent="0.25"/>
    <row r="5149" ht="19.7" customHeight="1" x14ac:dyDescent="0.25"/>
    <row r="5150" ht="19.7" customHeight="1" x14ac:dyDescent="0.25"/>
    <row r="5151" ht="19.7" customHeight="1" x14ac:dyDescent="0.25"/>
    <row r="5152" ht="19.7" customHeight="1" x14ac:dyDescent="0.25"/>
    <row r="5153" ht="19.7" customHeight="1" x14ac:dyDescent="0.25"/>
    <row r="5154" ht="19.7" customHeight="1" x14ac:dyDescent="0.25"/>
    <row r="5155" ht="19.7" customHeight="1" x14ac:dyDescent="0.25"/>
    <row r="5156" ht="19.7" customHeight="1" x14ac:dyDescent="0.25"/>
    <row r="5157" ht="19.7" customHeight="1" x14ac:dyDescent="0.25"/>
    <row r="5158" ht="19.7" customHeight="1" x14ac:dyDescent="0.25"/>
    <row r="5159" ht="19.7" customHeight="1" x14ac:dyDescent="0.25"/>
    <row r="5160" ht="19.7" customHeight="1" x14ac:dyDescent="0.25"/>
    <row r="5161" ht="19.7" customHeight="1" x14ac:dyDescent="0.25"/>
    <row r="5162" ht="19.7" customHeight="1" x14ac:dyDescent="0.25"/>
    <row r="5163" ht="19.7" customHeight="1" x14ac:dyDescent="0.25"/>
    <row r="5164" ht="19.7" customHeight="1" x14ac:dyDescent="0.25"/>
    <row r="5165" ht="19.7" customHeight="1" x14ac:dyDescent="0.25"/>
    <row r="5166" ht="19.7" customHeight="1" x14ac:dyDescent="0.25"/>
    <row r="5167" ht="19.7" customHeight="1" x14ac:dyDescent="0.25"/>
    <row r="5168" ht="19.7" customHeight="1" x14ac:dyDescent="0.25"/>
    <row r="5169" ht="19.7" customHeight="1" x14ac:dyDescent="0.25"/>
    <row r="5170" ht="19.7" customHeight="1" x14ac:dyDescent="0.25"/>
    <row r="5171" ht="19.7" customHeight="1" x14ac:dyDescent="0.25"/>
    <row r="5172" ht="19.7" customHeight="1" x14ac:dyDescent="0.25"/>
    <row r="5173" ht="19.7" customHeight="1" x14ac:dyDescent="0.25"/>
    <row r="5174" ht="19.7" customHeight="1" x14ac:dyDescent="0.25"/>
    <row r="5175" ht="19.7" customHeight="1" x14ac:dyDescent="0.25"/>
    <row r="5176" ht="19.7" customHeight="1" x14ac:dyDescent="0.25"/>
    <row r="5177" ht="19.7" customHeight="1" x14ac:dyDescent="0.25"/>
    <row r="5178" ht="19.7" customHeight="1" x14ac:dyDescent="0.25"/>
    <row r="5179" ht="19.7" customHeight="1" x14ac:dyDescent="0.25"/>
    <row r="5180" ht="19.7" customHeight="1" x14ac:dyDescent="0.25"/>
    <row r="5181" ht="19.7" customHeight="1" x14ac:dyDescent="0.25"/>
    <row r="5182" ht="19.7" customHeight="1" x14ac:dyDescent="0.25"/>
    <row r="5183" ht="19.7" customHeight="1" x14ac:dyDescent="0.25"/>
    <row r="5184" ht="19.7" customHeight="1" x14ac:dyDescent="0.25"/>
    <row r="5185" ht="19.7" customHeight="1" x14ac:dyDescent="0.25"/>
    <row r="5186" ht="19.7" customHeight="1" x14ac:dyDescent="0.25"/>
    <row r="5187" ht="19.7" customHeight="1" x14ac:dyDescent="0.25"/>
    <row r="5188" ht="19.7" customHeight="1" x14ac:dyDescent="0.25"/>
    <row r="5189" ht="19.7" customHeight="1" x14ac:dyDescent="0.25"/>
    <row r="5190" ht="19.7" customHeight="1" x14ac:dyDescent="0.25"/>
    <row r="5191" ht="19.7" customHeight="1" x14ac:dyDescent="0.25"/>
    <row r="5192" ht="19.7" customHeight="1" x14ac:dyDescent="0.25"/>
    <row r="5193" ht="19.7" customHeight="1" x14ac:dyDescent="0.25"/>
    <row r="5194" ht="19.7" customHeight="1" x14ac:dyDescent="0.25"/>
    <row r="5195" ht="19.7" customHeight="1" x14ac:dyDescent="0.25"/>
    <row r="5196" ht="19.7" customHeight="1" x14ac:dyDescent="0.25"/>
    <row r="5197" ht="19.7" customHeight="1" x14ac:dyDescent="0.25"/>
    <row r="5198" ht="19.7" customHeight="1" x14ac:dyDescent="0.25"/>
    <row r="5199" ht="19.7" customHeight="1" x14ac:dyDescent="0.25"/>
    <row r="5200" ht="19.7" customHeight="1" x14ac:dyDescent="0.25"/>
    <row r="5201" ht="19.7" customHeight="1" x14ac:dyDescent="0.25"/>
    <row r="5202" ht="19.7" customHeight="1" x14ac:dyDescent="0.25"/>
    <row r="5203" ht="19.7" customHeight="1" x14ac:dyDescent="0.25"/>
    <row r="5204" ht="19.7" customHeight="1" x14ac:dyDescent="0.25"/>
    <row r="5205" ht="19.7" customHeight="1" x14ac:dyDescent="0.25"/>
    <row r="5206" ht="19.7" customHeight="1" x14ac:dyDescent="0.25"/>
    <row r="5207" ht="19.7" customHeight="1" x14ac:dyDescent="0.25"/>
    <row r="5208" ht="19.7" customHeight="1" x14ac:dyDescent="0.25"/>
    <row r="5209" ht="19.7" customHeight="1" x14ac:dyDescent="0.25"/>
    <row r="5210" ht="19.7" customHeight="1" x14ac:dyDescent="0.25"/>
    <row r="5211" ht="19.7" customHeight="1" x14ac:dyDescent="0.25"/>
    <row r="5212" ht="19.7" customHeight="1" x14ac:dyDescent="0.25"/>
    <row r="5213" ht="19.7" customHeight="1" x14ac:dyDescent="0.25"/>
    <row r="5214" ht="19.7" customHeight="1" x14ac:dyDescent="0.25"/>
    <row r="5215" ht="19.7" customHeight="1" x14ac:dyDescent="0.25"/>
    <row r="5216" ht="19.7" customHeight="1" x14ac:dyDescent="0.25"/>
    <row r="5217" ht="19.7" customHeight="1" x14ac:dyDescent="0.25"/>
    <row r="5218" ht="19.7" customHeight="1" x14ac:dyDescent="0.25"/>
    <row r="5219" ht="19.7" customHeight="1" x14ac:dyDescent="0.25"/>
    <row r="5220" ht="19.7" customHeight="1" x14ac:dyDescent="0.25"/>
    <row r="5221" ht="19.7" customHeight="1" x14ac:dyDescent="0.25"/>
    <row r="5222" ht="19.7" customHeight="1" x14ac:dyDescent="0.25"/>
    <row r="5223" ht="19.7" customHeight="1" x14ac:dyDescent="0.25"/>
    <row r="5224" ht="19.7" customHeight="1" x14ac:dyDescent="0.25"/>
    <row r="5225" ht="19.7" customHeight="1" x14ac:dyDescent="0.25"/>
    <row r="5226" ht="19.7" customHeight="1" x14ac:dyDescent="0.25"/>
    <row r="5227" ht="19.7" customHeight="1" x14ac:dyDescent="0.25"/>
    <row r="5228" ht="19.7" customHeight="1" x14ac:dyDescent="0.25"/>
    <row r="5229" ht="19.7" customHeight="1" x14ac:dyDescent="0.25"/>
    <row r="5230" ht="19.7" customHeight="1" x14ac:dyDescent="0.25"/>
    <row r="5231" ht="19.7" customHeight="1" x14ac:dyDescent="0.25"/>
    <row r="5232" ht="19.7" customHeight="1" x14ac:dyDescent="0.25"/>
    <row r="5233" ht="19.7" customHeight="1" x14ac:dyDescent="0.25"/>
    <row r="5234" ht="19.7" customHeight="1" x14ac:dyDescent="0.25"/>
    <row r="5235" ht="19.7" customHeight="1" x14ac:dyDescent="0.25"/>
    <row r="5236" ht="19.7" customHeight="1" x14ac:dyDescent="0.25"/>
    <row r="5237" ht="19.7" customHeight="1" x14ac:dyDescent="0.25"/>
    <row r="5238" ht="19.7" customHeight="1" x14ac:dyDescent="0.25"/>
    <row r="5239" ht="19.7" customHeight="1" x14ac:dyDescent="0.25"/>
    <row r="5240" ht="19.7" customHeight="1" x14ac:dyDescent="0.25"/>
    <row r="5241" ht="19.7" customHeight="1" x14ac:dyDescent="0.25"/>
    <row r="5242" ht="19.7" customHeight="1" x14ac:dyDescent="0.25"/>
    <row r="5243" ht="19.7" customHeight="1" x14ac:dyDescent="0.25"/>
    <row r="5244" ht="19.7" customHeight="1" x14ac:dyDescent="0.25"/>
    <row r="5245" ht="19.7" customHeight="1" x14ac:dyDescent="0.25"/>
    <row r="5246" ht="19.7" customHeight="1" x14ac:dyDescent="0.25"/>
    <row r="5247" ht="19.7" customHeight="1" x14ac:dyDescent="0.25"/>
    <row r="5248" ht="19.7" customHeight="1" x14ac:dyDescent="0.25"/>
    <row r="5249" ht="19.7" customHeight="1" x14ac:dyDescent="0.25"/>
    <row r="5250" ht="19.7" customHeight="1" x14ac:dyDescent="0.25"/>
    <row r="5251" ht="19.7" customHeight="1" x14ac:dyDescent="0.25"/>
    <row r="5252" ht="19.7" customHeight="1" x14ac:dyDescent="0.25"/>
    <row r="5253" ht="19.7" customHeight="1" x14ac:dyDescent="0.25"/>
    <row r="5254" ht="19.7" customHeight="1" x14ac:dyDescent="0.25"/>
    <row r="5255" ht="19.7" customHeight="1" x14ac:dyDescent="0.25"/>
    <row r="5256" ht="19.7" customHeight="1" x14ac:dyDescent="0.25"/>
    <row r="5257" ht="19.7" customHeight="1" x14ac:dyDescent="0.25"/>
    <row r="5258" ht="19.7" customHeight="1" x14ac:dyDescent="0.25"/>
    <row r="5259" ht="19.7" customHeight="1" x14ac:dyDescent="0.25"/>
    <row r="5260" ht="19.7" customHeight="1" x14ac:dyDescent="0.25"/>
    <row r="5261" ht="19.7" customHeight="1" x14ac:dyDescent="0.25"/>
    <row r="5262" ht="19.7" customHeight="1" x14ac:dyDescent="0.25"/>
    <row r="5263" ht="19.7" customHeight="1" x14ac:dyDescent="0.25"/>
    <row r="5264" ht="19.7" customHeight="1" x14ac:dyDescent="0.25"/>
    <row r="5265" ht="19.7" customHeight="1" x14ac:dyDescent="0.25"/>
    <row r="5266" ht="19.7" customHeight="1" x14ac:dyDescent="0.25"/>
    <row r="5267" ht="19.7" customHeight="1" x14ac:dyDescent="0.25"/>
    <row r="5268" ht="19.7" customHeight="1" x14ac:dyDescent="0.25"/>
    <row r="5269" ht="19.7" customHeight="1" x14ac:dyDescent="0.25"/>
    <row r="5270" ht="19.7" customHeight="1" x14ac:dyDescent="0.25"/>
    <row r="5271" ht="19.7" customHeight="1" x14ac:dyDescent="0.25"/>
    <row r="5272" ht="19.7" customHeight="1" x14ac:dyDescent="0.25"/>
    <row r="5273" ht="19.7" customHeight="1" x14ac:dyDescent="0.25"/>
    <row r="5274" ht="19.7" customHeight="1" x14ac:dyDescent="0.25"/>
    <row r="5275" ht="19.7" customHeight="1" x14ac:dyDescent="0.25"/>
    <row r="5276" ht="19.7" customHeight="1" x14ac:dyDescent="0.25"/>
    <row r="5277" ht="19.7" customHeight="1" x14ac:dyDescent="0.25"/>
    <row r="5278" ht="19.7" customHeight="1" x14ac:dyDescent="0.25"/>
    <row r="5279" ht="19.7" customHeight="1" x14ac:dyDescent="0.25"/>
    <row r="5280" ht="19.7" customHeight="1" x14ac:dyDescent="0.25"/>
    <row r="5281" ht="19.7" customHeight="1" x14ac:dyDescent="0.25"/>
    <row r="5282" ht="19.7" customHeight="1" x14ac:dyDescent="0.25"/>
    <row r="5283" ht="19.7" customHeight="1" x14ac:dyDescent="0.25"/>
    <row r="5284" ht="19.7" customHeight="1" x14ac:dyDescent="0.25"/>
    <row r="5285" ht="19.7" customHeight="1" x14ac:dyDescent="0.25"/>
    <row r="5286" ht="19.7" customHeight="1" x14ac:dyDescent="0.25"/>
    <row r="5287" ht="19.7" customHeight="1" x14ac:dyDescent="0.25"/>
    <row r="5288" ht="19.7" customHeight="1" x14ac:dyDescent="0.25"/>
    <row r="5289" ht="19.7" customHeight="1" x14ac:dyDescent="0.25"/>
    <row r="5290" ht="19.7" customHeight="1" x14ac:dyDescent="0.25"/>
    <row r="5291" ht="19.7" customHeight="1" x14ac:dyDescent="0.25"/>
    <row r="5292" ht="19.7" customHeight="1" x14ac:dyDescent="0.25"/>
    <row r="5293" ht="19.7" customHeight="1" x14ac:dyDescent="0.25"/>
    <row r="5294" ht="19.7" customHeight="1" x14ac:dyDescent="0.25"/>
    <row r="5295" ht="19.7" customHeight="1" x14ac:dyDescent="0.25"/>
    <row r="5296" ht="19.7" customHeight="1" x14ac:dyDescent="0.25"/>
    <row r="5297" ht="19.7" customHeight="1" x14ac:dyDescent="0.25"/>
    <row r="5298" ht="19.7" customHeight="1" x14ac:dyDescent="0.25"/>
    <row r="5299" ht="19.7" customHeight="1" x14ac:dyDescent="0.25"/>
    <row r="5300" ht="19.7" customHeight="1" x14ac:dyDescent="0.25"/>
    <row r="5301" ht="19.7" customHeight="1" x14ac:dyDescent="0.25"/>
    <row r="5302" ht="19.7" customHeight="1" x14ac:dyDescent="0.25"/>
    <row r="5303" ht="19.7" customHeight="1" x14ac:dyDescent="0.25"/>
    <row r="5304" ht="19.7" customHeight="1" x14ac:dyDescent="0.25"/>
    <row r="5305" ht="19.7" customHeight="1" x14ac:dyDescent="0.25"/>
    <row r="5306" ht="19.7" customHeight="1" x14ac:dyDescent="0.25"/>
    <row r="5307" ht="19.7" customHeight="1" x14ac:dyDescent="0.25"/>
    <row r="5308" ht="19.7" customHeight="1" x14ac:dyDescent="0.25"/>
    <row r="5309" ht="19.7" customHeight="1" x14ac:dyDescent="0.25"/>
    <row r="5310" ht="19.7" customHeight="1" x14ac:dyDescent="0.25"/>
    <row r="5311" ht="19.7" customHeight="1" x14ac:dyDescent="0.25"/>
    <row r="5312" ht="19.7" customHeight="1" x14ac:dyDescent="0.25"/>
    <row r="5313" ht="19.7" customHeight="1" x14ac:dyDescent="0.25"/>
    <row r="5314" ht="19.7" customHeight="1" x14ac:dyDescent="0.25"/>
    <row r="5315" ht="19.7" customHeight="1" x14ac:dyDescent="0.25"/>
    <row r="5316" ht="19.7" customHeight="1" x14ac:dyDescent="0.25"/>
    <row r="5317" ht="19.7" customHeight="1" x14ac:dyDescent="0.25"/>
    <row r="5318" ht="19.7" customHeight="1" x14ac:dyDescent="0.25"/>
    <row r="5319" ht="19.7" customHeight="1" x14ac:dyDescent="0.25"/>
    <row r="5320" ht="19.7" customHeight="1" x14ac:dyDescent="0.25"/>
    <row r="5321" ht="19.7" customHeight="1" x14ac:dyDescent="0.25"/>
    <row r="5322" ht="19.7" customHeight="1" x14ac:dyDescent="0.25"/>
    <row r="5323" ht="19.7" customHeight="1" x14ac:dyDescent="0.25"/>
    <row r="5324" ht="19.7" customHeight="1" x14ac:dyDescent="0.25"/>
    <row r="5325" ht="19.7" customHeight="1" x14ac:dyDescent="0.25"/>
    <row r="5326" ht="19.7" customHeight="1" x14ac:dyDescent="0.25"/>
    <row r="5327" ht="19.7" customHeight="1" x14ac:dyDescent="0.25"/>
    <row r="5328" ht="19.7" customHeight="1" x14ac:dyDescent="0.25"/>
    <row r="5329" ht="19.7" customHeight="1" x14ac:dyDescent="0.25"/>
    <row r="5330" ht="19.7" customHeight="1" x14ac:dyDescent="0.25"/>
    <row r="5331" ht="19.7" customHeight="1" x14ac:dyDescent="0.25"/>
    <row r="5332" ht="19.7" customHeight="1" x14ac:dyDescent="0.25"/>
    <row r="5333" ht="19.7" customHeight="1" x14ac:dyDescent="0.25"/>
    <row r="5334" ht="19.7" customHeight="1" x14ac:dyDescent="0.25"/>
    <row r="5335" ht="19.7" customHeight="1" x14ac:dyDescent="0.25"/>
    <row r="5336" ht="19.7" customHeight="1" x14ac:dyDescent="0.25"/>
    <row r="5337" ht="19.7" customHeight="1" x14ac:dyDescent="0.25"/>
    <row r="5338" ht="19.7" customHeight="1" x14ac:dyDescent="0.25"/>
    <row r="5339" ht="19.7" customHeight="1" x14ac:dyDescent="0.25"/>
    <row r="5340" ht="19.7" customHeight="1" x14ac:dyDescent="0.25"/>
    <row r="5341" ht="19.7" customHeight="1" x14ac:dyDescent="0.25"/>
    <row r="5342" ht="19.7" customHeight="1" x14ac:dyDescent="0.25"/>
    <row r="5343" ht="19.7" customHeight="1" x14ac:dyDescent="0.25"/>
    <row r="5344" ht="19.7" customHeight="1" x14ac:dyDescent="0.25"/>
    <row r="5345" ht="19.7" customHeight="1" x14ac:dyDescent="0.25"/>
    <row r="5346" ht="19.7" customHeight="1" x14ac:dyDescent="0.25"/>
    <row r="5347" ht="19.7" customHeight="1" x14ac:dyDescent="0.25"/>
    <row r="5348" ht="19.7" customHeight="1" x14ac:dyDescent="0.25"/>
    <row r="5349" ht="19.7" customHeight="1" x14ac:dyDescent="0.25"/>
    <row r="5350" ht="19.7" customHeight="1" x14ac:dyDescent="0.25"/>
    <row r="5351" ht="19.7" customHeight="1" x14ac:dyDescent="0.25"/>
    <row r="5352" ht="19.7" customHeight="1" x14ac:dyDescent="0.25"/>
    <row r="5353" ht="19.7" customHeight="1" x14ac:dyDescent="0.25"/>
    <row r="5354" ht="19.7" customHeight="1" x14ac:dyDescent="0.25"/>
    <row r="5355" ht="19.7" customHeight="1" x14ac:dyDescent="0.25"/>
    <row r="5356" ht="19.7" customHeight="1" x14ac:dyDescent="0.25"/>
    <row r="5357" ht="19.7" customHeight="1" x14ac:dyDescent="0.25"/>
    <row r="5358" ht="19.7" customHeight="1" x14ac:dyDescent="0.25"/>
    <row r="5359" ht="19.7" customHeight="1" x14ac:dyDescent="0.25"/>
    <row r="5360" ht="19.7" customHeight="1" x14ac:dyDescent="0.25"/>
    <row r="5361" ht="19.7" customHeight="1" x14ac:dyDescent="0.25"/>
    <row r="5362" ht="19.7" customHeight="1" x14ac:dyDescent="0.25"/>
    <row r="5363" ht="19.7" customHeight="1" x14ac:dyDescent="0.25"/>
    <row r="5364" ht="19.7" customHeight="1" x14ac:dyDescent="0.25"/>
    <row r="5365" ht="19.7" customHeight="1" x14ac:dyDescent="0.25"/>
    <row r="5366" ht="19.7" customHeight="1" x14ac:dyDescent="0.25"/>
    <row r="5367" ht="19.7" customHeight="1" x14ac:dyDescent="0.25"/>
    <row r="5368" ht="19.7" customHeight="1" x14ac:dyDescent="0.25"/>
    <row r="5369" ht="19.7" customHeight="1" x14ac:dyDescent="0.25"/>
    <row r="5370" ht="19.7" customHeight="1" x14ac:dyDescent="0.25"/>
    <row r="5371" ht="19.7" customHeight="1" x14ac:dyDescent="0.25"/>
    <row r="5372" ht="19.7" customHeight="1" x14ac:dyDescent="0.25"/>
    <row r="5373" ht="19.7" customHeight="1" x14ac:dyDescent="0.25"/>
    <row r="5374" ht="19.7" customHeight="1" x14ac:dyDescent="0.25"/>
    <row r="5375" ht="19.7" customHeight="1" x14ac:dyDescent="0.25"/>
    <row r="5376" ht="19.7" customHeight="1" x14ac:dyDescent="0.25"/>
    <row r="5377" ht="19.7" customHeight="1" x14ac:dyDescent="0.25"/>
    <row r="5378" ht="19.7" customHeight="1" x14ac:dyDescent="0.25"/>
    <row r="5379" ht="19.7" customHeight="1" x14ac:dyDescent="0.25"/>
    <row r="5380" ht="19.7" customHeight="1" x14ac:dyDescent="0.25"/>
    <row r="5381" ht="19.7" customHeight="1" x14ac:dyDescent="0.25"/>
    <row r="5382" ht="19.7" customHeight="1" x14ac:dyDescent="0.25"/>
    <row r="5383" ht="19.7" customHeight="1" x14ac:dyDescent="0.25"/>
    <row r="5384" ht="19.7" customHeight="1" x14ac:dyDescent="0.25"/>
    <row r="5385" ht="19.7" customHeight="1" x14ac:dyDescent="0.25"/>
    <row r="5386" ht="19.7" customHeight="1" x14ac:dyDescent="0.25"/>
    <row r="5387" ht="19.7" customHeight="1" x14ac:dyDescent="0.25"/>
    <row r="5388" ht="19.7" customHeight="1" x14ac:dyDescent="0.25"/>
    <row r="5389" ht="19.7" customHeight="1" x14ac:dyDescent="0.25"/>
    <row r="5390" ht="19.7" customHeight="1" x14ac:dyDescent="0.25"/>
    <row r="5391" ht="19.7" customHeight="1" x14ac:dyDescent="0.25"/>
    <row r="5392" ht="19.7" customHeight="1" x14ac:dyDescent="0.25"/>
    <row r="5393" ht="19.7" customHeight="1" x14ac:dyDescent="0.25"/>
    <row r="5394" ht="19.7" customHeight="1" x14ac:dyDescent="0.25"/>
    <row r="5395" ht="19.7" customHeight="1" x14ac:dyDescent="0.25"/>
    <row r="5396" ht="19.7" customHeight="1" x14ac:dyDescent="0.25"/>
    <row r="5397" ht="19.7" customHeight="1" x14ac:dyDescent="0.25"/>
    <row r="5398" ht="19.7" customHeight="1" x14ac:dyDescent="0.25"/>
    <row r="5399" ht="19.7" customHeight="1" x14ac:dyDescent="0.25"/>
    <row r="5400" ht="19.7" customHeight="1" x14ac:dyDescent="0.25"/>
    <row r="5401" ht="19.7" customHeight="1" x14ac:dyDescent="0.25"/>
    <row r="5402" ht="19.7" customHeight="1" x14ac:dyDescent="0.25"/>
    <row r="5403" ht="19.7" customHeight="1" x14ac:dyDescent="0.25"/>
    <row r="5404" ht="19.7" customHeight="1" x14ac:dyDescent="0.25"/>
    <row r="5405" ht="19.7" customHeight="1" x14ac:dyDescent="0.25"/>
    <row r="5406" ht="19.7" customHeight="1" x14ac:dyDescent="0.25"/>
    <row r="5407" ht="19.7" customHeight="1" x14ac:dyDescent="0.25"/>
    <row r="5408" ht="19.7" customHeight="1" x14ac:dyDescent="0.25"/>
    <row r="5409" ht="19.7" customHeight="1" x14ac:dyDescent="0.25"/>
    <row r="5410" ht="19.7" customHeight="1" x14ac:dyDescent="0.25"/>
    <row r="5411" ht="19.7" customHeight="1" x14ac:dyDescent="0.25"/>
    <row r="5412" ht="19.7" customHeight="1" x14ac:dyDescent="0.25"/>
    <row r="5413" ht="19.7" customHeight="1" x14ac:dyDescent="0.25"/>
    <row r="5414" ht="19.7" customHeight="1" x14ac:dyDescent="0.25"/>
    <row r="5415" ht="19.7" customHeight="1" x14ac:dyDescent="0.25"/>
    <row r="5416" ht="19.7" customHeight="1" x14ac:dyDescent="0.25"/>
    <row r="5417" ht="19.7" customHeight="1" x14ac:dyDescent="0.25"/>
    <row r="5418" ht="19.7" customHeight="1" x14ac:dyDescent="0.25"/>
    <row r="5419" ht="19.7" customHeight="1" x14ac:dyDescent="0.25"/>
    <row r="5420" ht="19.7" customHeight="1" x14ac:dyDescent="0.25"/>
    <row r="5421" ht="19.7" customHeight="1" x14ac:dyDescent="0.25"/>
    <row r="5422" ht="19.7" customHeight="1" x14ac:dyDescent="0.25"/>
    <row r="5423" ht="19.7" customHeight="1" x14ac:dyDescent="0.25"/>
    <row r="5424" ht="19.7" customHeight="1" x14ac:dyDescent="0.25"/>
    <row r="5425" ht="19.7" customHeight="1" x14ac:dyDescent="0.25"/>
    <row r="5426" ht="19.7" customHeight="1" x14ac:dyDescent="0.25"/>
    <row r="5427" ht="19.7" customHeight="1" x14ac:dyDescent="0.25"/>
    <row r="5428" ht="19.7" customHeight="1" x14ac:dyDescent="0.25"/>
    <row r="5429" ht="19.7" customHeight="1" x14ac:dyDescent="0.25"/>
    <row r="5430" ht="19.7" customHeight="1" x14ac:dyDescent="0.25"/>
    <row r="5431" ht="19.7" customHeight="1" x14ac:dyDescent="0.25"/>
    <row r="5432" ht="19.7" customHeight="1" x14ac:dyDescent="0.25"/>
    <row r="5433" ht="19.7" customHeight="1" x14ac:dyDescent="0.25"/>
    <row r="5434" ht="19.7" customHeight="1" x14ac:dyDescent="0.25"/>
    <row r="5435" ht="19.7" customHeight="1" x14ac:dyDescent="0.25"/>
    <row r="5436" ht="19.7" customHeight="1" x14ac:dyDescent="0.25"/>
    <row r="5437" ht="19.7" customHeight="1" x14ac:dyDescent="0.25"/>
    <row r="5438" ht="19.7" customHeight="1" x14ac:dyDescent="0.25"/>
    <row r="5439" ht="19.7" customHeight="1" x14ac:dyDescent="0.25"/>
    <row r="5440" ht="19.7" customHeight="1" x14ac:dyDescent="0.25"/>
    <row r="5441" ht="19.7" customHeight="1" x14ac:dyDescent="0.25"/>
    <row r="5442" ht="19.7" customHeight="1" x14ac:dyDescent="0.25"/>
    <row r="5443" ht="19.7" customHeight="1" x14ac:dyDescent="0.25"/>
    <row r="5444" ht="19.7" customHeight="1" x14ac:dyDescent="0.25"/>
    <row r="5445" ht="19.7" customHeight="1" x14ac:dyDescent="0.25"/>
    <row r="5446" ht="19.7" customHeight="1" x14ac:dyDescent="0.25"/>
    <row r="5447" ht="19.7" customHeight="1" x14ac:dyDescent="0.25"/>
    <row r="5448" ht="19.7" customHeight="1" x14ac:dyDescent="0.25"/>
    <row r="5449" ht="19.7" customHeight="1" x14ac:dyDescent="0.25"/>
    <row r="5450" ht="19.7" customHeight="1" x14ac:dyDescent="0.25"/>
    <row r="5451" ht="19.7" customHeight="1" x14ac:dyDescent="0.25"/>
    <row r="5452" ht="19.7" customHeight="1" x14ac:dyDescent="0.25"/>
    <row r="5453" ht="19.7" customHeight="1" x14ac:dyDescent="0.25"/>
    <row r="5454" ht="19.7" customHeight="1" x14ac:dyDescent="0.25"/>
    <row r="5455" ht="19.7" customHeight="1" x14ac:dyDescent="0.25"/>
    <row r="5456" ht="19.7" customHeight="1" x14ac:dyDescent="0.25"/>
    <row r="5457" ht="19.7" customHeight="1" x14ac:dyDescent="0.25"/>
    <row r="5458" ht="19.7" customHeight="1" x14ac:dyDescent="0.25"/>
    <row r="5459" ht="19.7" customHeight="1" x14ac:dyDescent="0.25"/>
    <row r="5460" ht="19.7" customHeight="1" x14ac:dyDescent="0.25"/>
    <row r="5461" ht="19.7" customHeight="1" x14ac:dyDescent="0.25"/>
    <row r="5462" ht="19.7" customHeight="1" x14ac:dyDescent="0.25"/>
    <row r="5463" ht="19.7" customHeight="1" x14ac:dyDescent="0.25"/>
    <row r="5464" ht="19.7" customHeight="1" x14ac:dyDescent="0.25"/>
    <row r="5465" ht="19.7" customHeight="1" x14ac:dyDescent="0.25"/>
    <row r="5466" ht="19.7" customHeight="1" x14ac:dyDescent="0.25"/>
    <row r="5467" ht="19.7" customHeight="1" x14ac:dyDescent="0.25"/>
    <row r="5468" ht="19.7" customHeight="1" x14ac:dyDescent="0.25"/>
    <row r="5469" ht="19.7" customHeight="1" x14ac:dyDescent="0.25"/>
    <row r="5470" ht="19.7" customHeight="1" x14ac:dyDescent="0.25"/>
    <row r="5471" ht="19.7" customHeight="1" x14ac:dyDescent="0.25"/>
    <row r="5472" ht="19.7" customHeight="1" x14ac:dyDescent="0.25"/>
    <row r="5473" ht="19.7" customHeight="1" x14ac:dyDescent="0.25"/>
    <row r="5474" ht="19.7" customHeight="1" x14ac:dyDescent="0.25"/>
    <row r="5475" ht="19.7" customHeight="1" x14ac:dyDescent="0.25"/>
    <row r="5476" ht="19.7" customHeight="1" x14ac:dyDescent="0.25"/>
    <row r="5477" ht="19.7" customHeight="1" x14ac:dyDescent="0.25"/>
    <row r="5478" ht="19.7" customHeight="1" x14ac:dyDescent="0.25"/>
    <row r="5479" ht="19.7" customHeight="1" x14ac:dyDescent="0.25"/>
    <row r="5480" ht="19.7" customHeight="1" x14ac:dyDescent="0.25"/>
    <row r="5481" ht="19.7" customHeight="1" x14ac:dyDescent="0.25"/>
    <row r="5482" ht="19.7" customHeight="1" x14ac:dyDescent="0.25"/>
    <row r="5483" ht="19.7" customHeight="1" x14ac:dyDescent="0.25"/>
    <row r="5484" ht="19.7" customHeight="1" x14ac:dyDescent="0.25"/>
    <row r="5485" ht="19.7" customHeight="1" x14ac:dyDescent="0.25"/>
    <row r="5486" ht="19.7" customHeight="1" x14ac:dyDescent="0.25"/>
    <row r="5487" ht="19.7" customHeight="1" x14ac:dyDescent="0.25"/>
    <row r="5488" ht="19.7" customHeight="1" x14ac:dyDescent="0.25"/>
    <row r="5489" ht="19.7" customHeight="1" x14ac:dyDescent="0.25"/>
    <row r="5490" ht="19.7" customHeight="1" x14ac:dyDescent="0.25"/>
    <row r="5491" ht="19.7" customHeight="1" x14ac:dyDescent="0.25"/>
    <row r="5492" ht="19.7" customHeight="1" x14ac:dyDescent="0.25"/>
    <row r="5493" ht="19.7" customHeight="1" x14ac:dyDescent="0.25"/>
    <row r="5494" ht="19.7" customHeight="1" x14ac:dyDescent="0.25"/>
    <row r="5495" ht="19.7" customHeight="1" x14ac:dyDescent="0.25"/>
    <row r="5496" ht="19.7" customHeight="1" x14ac:dyDescent="0.25"/>
    <row r="5497" ht="19.7" customHeight="1" x14ac:dyDescent="0.25"/>
    <row r="5498" ht="19.7" customHeight="1" x14ac:dyDescent="0.25"/>
    <row r="5499" ht="19.7" customHeight="1" x14ac:dyDescent="0.25"/>
    <row r="5500" ht="19.7" customHeight="1" x14ac:dyDescent="0.25"/>
    <row r="5501" ht="19.7" customHeight="1" x14ac:dyDescent="0.25"/>
    <row r="5502" ht="19.7" customHeight="1" x14ac:dyDescent="0.25"/>
    <row r="5503" ht="19.7" customHeight="1" x14ac:dyDescent="0.25"/>
    <row r="5504" ht="19.7" customHeight="1" x14ac:dyDescent="0.25"/>
    <row r="5505" ht="19.7" customHeight="1" x14ac:dyDescent="0.25"/>
    <row r="5506" ht="19.7" customHeight="1" x14ac:dyDescent="0.25"/>
    <row r="5507" ht="19.7" customHeight="1" x14ac:dyDescent="0.25"/>
    <row r="5508" ht="19.7" customHeight="1" x14ac:dyDescent="0.25"/>
    <row r="5509" ht="19.7" customHeight="1" x14ac:dyDescent="0.25"/>
    <row r="5510" ht="19.7" customHeight="1" x14ac:dyDescent="0.25"/>
    <row r="5511" ht="19.7" customHeight="1" x14ac:dyDescent="0.25"/>
    <row r="5512" ht="19.7" customHeight="1" x14ac:dyDescent="0.25"/>
    <row r="5513" ht="19.7" customHeight="1" x14ac:dyDescent="0.25"/>
    <row r="5514" ht="19.7" customHeight="1" x14ac:dyDescent="0.25"/>
    <row r="5515" ht="19.7" customHeight="1" x14ac:dyDescent="0.25"/>
    <row r="5516" ht="19.7" customHeight="1" x14ac:dyDescent="0.25"/>
    <row r="5517" ht="19.7" customHeight="1" x14ac:dyDescent="0.25"/>
    <row r="5518" ht="19.7" customHeight="1" x14ac:dyDescent="0.25"/>
    <row r="5519" ht="19.7" customHeight="1" x14ac:dyDescent="0.25"/>
    <row r="5520" ht="19.7" customHeight="1" x14ac:dyDescent="0.25"/>
    <row r="5521" ht="19.7" customHeight="1" x14ac:dyDescent="0.25"/>
    <row r="5522" ht="19.7" customHeight="1" x14ac:dyDescent="0.25"/>
    <row r="5523" ht="19.7" customHeight="1" x14ac:dyDescent="0.25"/>
    <row r="5524" ht="19.7" customHeight="1" x14ac:dyDescent="0.25"/>
    <row r="5525" ht="19.7" customHeight="1" x14ac:dyDescent="0.25"/>
    <row r="5526" ht="19.7" customHeight="1" x14ac:dyDescent="0.25"/>
    <row r="5527" ht="19.7" customHeight="1" x14ac:dyDescent="0.25"/>
    <row r="5528" ht="19.7" customHeight="1" x14ac:dyDescent="0.25"/>
    <row r="5529" ht="19.7" customHeight="1" x14ac:dyDescent="0.25"/>
    <row r="5530" ht="19.7" customHeight="1" x14ac:dyDescent="0.25"/>
    <row r="5531" ht="19.7" customHeight="1" x14ac:dyDescent="0.25"/>
    <row r="5532" ht="19.7" customHeight="1" x14ac:dyDescent="0.25"/>
    <row r="5533" ht="19.7" customHeight="1" x14ac:dyDescent="0.25"/>
    <row r="5534" ht="19.7" customHeight="1" x14ac:dyDescent="0.25"/>
    <row r="5535" ht="19.7" customHeight="1" x14ac:dyDescent="0.25"/>
    <row r="5536" ht="19.7" customHeight="1" x14ac:dyDescent="0.25"/>
    <row r="5537" ht="19.7" customHeight="1" x14ac:dyDescent="0.25"/>
    <row r="5538" ht="19.7" customHeight="1" x14ac:dyDescent="0.25"/>
    <row r="5539" ht="19.7" customHeight="1" x14ac:dyDescent="0.25"/>
    <row r="5540" ht="19.7" customHeight="1" x14ac:dyDescent="0.25"/>
    <row r="5541" ht="19.7" customHeight="1" x14ac:dyDescent="0.25"/>
    <row r="5542" ht="19.7" customHeight="1" x14ac:dyDescent="0.25"/>
    <row r="5543" ht="19.7" customHeight="1" x14ac:dyDescent="0.25"/>
    <row r="5544" ht="19.7" customHeight="1" x14ac:dyDescent="0.25"/>
    <row r="5545" ht="19.7" customHeight="1" x14ac:dyDescent="0.25"/>
    <row r="5546" ht="19.7" customHeight="1" x14ac:dyDescent="0.25"/>
    <row r="5547" ht="19.7" customHeight="1" x14ac:dyDescent="0.25"/>
    <row r="5548" ht="19.7" customHeight="1" x14ac:dyDescent="0.25"/>
    <row r="5549" ht="19.7" customHeight="1" x14ac:dyDescent="0.25"/>
    <row r="5550" ht="19.7" customHeight="1" x14ac:dyDescent="0.25"/>
    <row r="5551" ht="19.7" customHeight="1" x14ac:dyDescent="0.25"/>
    <row r="5552" ht="19.7" customHeight="1" x14ac:dyDescent="0.25"/>
    <row r="5553" ht="19.7" customHeight="1" x14ac:dyDescent="0.25"/>
    <row r="5554" ht="19.7" customHeight="1" x14ac:dyDescent="0.25"/>
    <row r="5555" ht="19.7" customHeight="1" x14ac:dyDescent="0.25"/>
    <row r="5556" ht="19.7" customHeight="1" x14ac:dyDescent="0.25"/>
    <row r="5557" ht="19.7" customHeight="1" x14ac:dyDescent="0.25"/>
    <row r="5558" ht="19.7" customHeight="1" x14ac:dyDescent="0.25"/>
    <row r="5559" ht="19.7" customHeight="1" x14ac:dyDescent="0.25"/>
    <row r="5560" ht="19.7" customHeight="1" x14ac:dyDescent="0.25"/>
    <row r="5561" ht="19.7" customHeight="1" x14ac:dyDescent="0.25"/>
    <row r="5562" ht="19.7" customHeight="1" x14ac:dyDescent="0.25"/>
    <row r="5563" ht="19.7" customHeight="1" x14ac:dyDescent="0.25"/>
    <row r="5564" ht="19.7" customHeight="1" x14ac:dyDescent="0.25"/>
    <row r="5565" ht="19.7" customHeight="1" x14ac:dyDescent="0.25"/>
    <row r="5566" ht="19.7" customHeight="1" x14ac:dyDescent="0.25"/>
    <row r="5567" ht="19.7" customHeight="1" x14ac:dyDescent="0.25"/>
    <row r="5568" ht="19.7" customHeight="1" x14ac:dyDescent="0.25"/>
    <row r="5569" ht="19.7" customHeight="1" x14ac:dyDescent="0.25"/>
    <row r="5570" ht="19.7" customHeight="1" x14ac:dyDescent="0.25"/>
    <row r="5571" ht="19.7" customHeight="1" x14ac:dyDescent="0.25"/>
    <row r="5572" ht="19.7" customHeight="1" x14ac:dyDescent="0.25"/>
    <row r="5573" ht="19.7" customHeight="1" x14ac:dyDescent="0.25"/>
    <row r="5574" ht="19.7" customHeight="1" x14ac:dyDescent="0.25"/>
    <row r="5575" ht="19.7" customHeight="1" x14ac:dyDescent="0.25"/>
    <row r="5576" ht="19.7" customHeight="1" x14ac:dyDescent="0.25"/>
    <row r="5577" ht="19.7" customHeight="1" x14ac:dyDescent="0.25"/>
    <row r="5578" ht="19.7" customHeight="1" x14ac:dyDescent="0.25"/>
    <row r="5579" ht="19.7" customHeight="1" x14ac:dyDescent="0.25"/>
    <row r="5580" ht="19.7" customHeight="1" x14ac:dyDescent="0.25"/>
    <row r="5581" ht="19.7" customHeight="1" x14ac:dyDescent="0.25"/>
    <row r="5582" ht="19.7" customHeight="1" x14ac:dyDescent="0.25"/>
    <row r="5583" ht="19.7" customHeight="1" x14ac:dyDescent="0.25"/>
    <row r="5584" ht="19.7" customHeight="1" x14ac:dyDescent="0.25"/>
    <row r="5585" ht="19.7" customHeight="1" x14ac:dyDescent="0.25"/>
    <row r="5586" ht="19.7" customHeight="1" x14ac:dyDescent="0.25"/>
    <row r="5587" ht="19.7" customHeight="1" x14ac:dyDescent="0.25"/>
    <row r="5588" ht="19.7" customHeight="1" x14ac:dyDescent="0.25"/>
    <row r="5589" ht="19.7" customHeight="1" x14ac:dyDescent="0.25"/>
    <row r="5590" ht="19.7" customHeight="1" x14ac:dyDescent="0.25"/>
    <row r="5591" ht="19.7" customHeight="1" x14ac:dyDescent="0.25"/>
    <row r="5592" ht="19.7" customHeight="1" x14ac:dyDescent="0.25"/>
    <row r="5593" ht="19.7" customHeight="1" x14ac:dyDescent="0.25"/>
    <row r="5594" ht="19.7" customHeight="1" x14ac:dyDescent="0.25"/>
    <row r="5595" ht="19.7" customHeight="1" x14ac:dyDescent="0.25"/>
    <row r="5596" ht="19.7" customHeight="1" x14ac:dyDescent="0.25"/>
    <row r="5597" ht="19.7" customHeight="1" x14ac:dyDescent="0.25"/>
    <row r="5598" ht="19.7" customHeight="1" x14ac:dyDescent="0.25"/>
    <row r="5599" ht="19.7" customHeight="1" x14ac:dyDescent="0.25"/>
    <row r="5600" ht="19.7" customHeight="1" x14ac:dyDescent="0.25"/>
    <row r="5601" ht="19.7" customHeight="1" x14ac:dyDescent="0.25"/>
    <row r="5602" ht="19.7" customHeight="1" x14ac:dyDescent="0.25"/>
    <row r="5603" ht="19.7" customHeight="1" x14ac:dyDescent="0.25"/>
    <row r="5604" ht="19.7" customHeight="1" x14ac:dyDescent="0.25"/>
    <row r="5605" ht="19.7" customHeight="1" x14ac:dyDescent="0.25"/>
    <row r="5606" ht="19.7" customHeight="1" x14ac:dyDescent="0.25"/>
    <row r="5607" ht="19.7" customHeight="1" x14ac:dyDescent="0.25"/>
    <row r="5608" ht="19.7" customHeight="1" x14ac:dyDescent="0.25"/>
    <row r="5609" ht="19.7" customHeight="1" x14ac:dyDescent="0.25"/>
    <row r="5610" ht="19.7" customHeight="1" x14ac:dyDescent="0.25"/>
    <row r="5611" ht="19.7" customHeight="1" x14ac:dyDescent="0.25"/>
    <row r="5612" ht="19.7" customHeight="1" x14ac:dyDescent="0.25"/>
    <row r="5613" ht="19.7" customHeight="1" x14ac:dyDescent="0.25"/>
    <row r="5614" ht="19.7" customHeight="1" x14ac:dyDescent="0.25"/>
    <row r="5615" ht="19.7" customHeight="1" x14ac:dyDescent="0.25"/>
    <row r="5616" ht="19.7" customHeight="1" x14ac:dyDescent="0.25"/>
    <row r="5617" ht="19.7" customHeight="1" x14ac:dyDescent="0.25"/>
    <row r="5618" ht="19.7" customHeight="1" x14ac:dyDescent="0.25"/>
    <row r="5619" ht="19.7" customHeight="1" x14ac:dyDescent="0.25"/>
    <row r="5620" ht="19.7" customHeight="1" x14ac:dyDescent="0.25"/>
    <row r="5621" ht="19.7" customHeight="1" x14ac:dyDescent="0.25"/>
    <row r="5622" ht="19.7" customHeight="1" x14ac:dyDescent="0.25"/>
    <row r="5623" ht="19.7" customHeight="1" x14ac:dyDescent="0.25"/>
    <row r="5624" ht="19.7" customHeight="1" x14ac:dyDescent="0.25"/>
    <row r="5625" ht="19.7" customHeight="1" x14ac:dyDescent="0.25"/>
    <row r="5626" ht="19.7" customHeight="1" x14ac:dyDescent="0.25"/>
    <row r="5627" ht="19.7" customHeight="1" x14ac:dyDescent="0.25"/>
    <row r="5628" ht="19.7" customHeight="1" x14ac:dyDescent="0.25"/>
    <row r="5629" ht="19.7" customHeight="1" x14ac:dyDescent="0.25"/>
    <row r="5630" ht="19.7" customHeight="1" x14ac:dyDescent="0.25"/>
    <row r="5631" ht="19.7" customHeight="1" x14ac:dyDescent="0.25"/>
    <row r="5632" ht="19.7" customHeight="1" x14ac:dyDescent="0.25"/>
    <row r="5633" ht="19.7" customHeight="1" x14ac:dyDescent="0.25"/>
    <row r="5634" ht="19.7" customHeight="1" x14ac:dyDescent="0.25"/>
    <row r="5635" ht="19.7" customHeight="1" x14ac:dyDescent="0.25"/>
    <row r="5636" ht="19.7" customHeight="1" x14ac:dyDescent="0.25"/>
    <row r="5637" ht="19.7" customHeight="1" x14ac:dyDescent="0.25"/>
    <row r="5638" ht="19.7" customHeight="1" x14ac:dyDescent="0.25"/>
    <row r="5639" ht="19.7" customHeight="1" x14ac:dyDescent="0.25"/>
    <row r="5640" ht="19.7" customHeight="1" x14ac:dyDescent="0.25"/>
    <row r="5641" ht="19.7" customHeight="1" x14ac:dyDescent="0.25"/>
    <row r="5642" ht="19.7" customHeight="1" x14ac:dyDescent="0.25"/>
    <row r="5643" ht="19.7" customHeight="1" x14ac:dyDescent="0.25"/>
    <row r="5644" ht="19.7" customHeight="1" x14ac:dyDescent="0.25"/>
    <row r="5645" ht="19.7" customHeight="1" x14ac:dyDescent="0.25"/>
    <row r="5646" ht="19.7" customHeight="1" x14ac:dyDescent="0.25"/>
    <row r="5647" ht="19.7" customHeight="1" x14ac:dyDescent="0.25"/>
    <row r="5648" ht="19.7" customHeight="1" x14ac:dyDescent="0.25"/>
    <row r="5649" ht="19.7" customHeight="1" x14ac:dyDescent="0.25"/>
    <row r="5650" ht="19.7" customHeight="1" x14ac:dyDescent="0.25"/>
    <row r="5651" ht="19.7" customHeight="1" x14ac:dyDescent="0.25"/>
    <row r="5652" ht="19.7" customHeight="1" x14ac:dyDescent="0.25"/>
    <row r="5653" ht="19.7" customHeight="1" x14ac:dyDescent="0.25"/>
    <row r="5654" ht="19.7" customHeight="1" x14ac:dyDescent="0.25"/>
    <row r="5655" ht="19.7" customHeight="1" x14ac:dyDescent="0.25"/>
    <row r="5656" ht="19.7" customHeight="1" x14ac:dyDescent="0.25"/>
    <row r="5657" ht="19.7" customHeight="1" x14ac:dyDescent="0.25"/>
    <row r="5658" ht="19.7" customHeight="1" x14ac:dyDescent="0.25"/>
    <row r="5659" ht="19.7" customHeight="1" x14ac:dyDescent="0.25"/>
    <row r="5660" ht="19.7" customHeight="1" x14ac:dyDescent="0.25"/>
    <row r="5661" ht="19.7" customHeight="1" x14ac:dyDescent="0.25"/>
    <row r="5662" ht="19.7" customHeight="1" x14ac:dyDescent="0.25"/>
    <row r="5663" ht="19.7" customHeight="1" x14ac:dyDescent="0.25"/>
    <row r="5664" ht="19.7" customHeight="1" x14ac:dyDescent="0.25"/>
    <row r="5665" ht="19.7" customHeight="1" x14ac:dyDescent="0.25"/>
    <row r="5666" ht="19.7" customHeight="1" x14ac:dyDescent="0.25"/>
    <row r="5667" ht="19.7" customHeight="1" x14ac:dyDescent="0.25"/>
    <row r="5668" ht="19.7" customHeight="1" x14ac:dyDescent="0.25"/>
    <row r="5669" ht="19.7" customHeight="1" x14ac:dyDescent="0.25"/>
    <row r="5670" ht="19.7" customHeight="1" x14ac:dyDescent="0.25"/>
    <row r="5671" ht="19.7" customHeight="1" x14ac:dyDescent="0.25"/>
    <row r="5672" ht="19.7" customHeight="1" x14ac:dyDescent="0.25"/>
    <row r="5673" ht="19.7" customHeight="1" x14ac:dyDescent="0.25"/>
    <row r="5674" ht="19.7" customHeight="1" x14ac:dyDescent="0.25"/>
    <row r="5675" ht="19.7" customHeight="1" x14ac:dyDescent="0.25"/>
    <row r="5676" ht="19.7" customHeight="1" x14ac:dyDescent="0.25"/>
    <row r="5677" ht="19.7" customHeight="1" x14ac:dyDescent="0.25"/>
    <row r="5678" ht="19.7" customHeight="1" x14ac:dyDescent="0.25"/>
    <row r="5679" ht="19.7" customHeight="1" x14ac:dyDescent="0.25"/>
    <row r="5680" ht="19.7" customHeight="1" x14ac:dyDescent="0.25"/>
    <row r="5681" ht="19.7" customHeight="1" x14ac:dyDescent="0.25"/>
    <row r="5682" ht="19.7" customHeight="1" x14ac:dyDescent="0.25"/>
    <row r="5683" ht="19.7" customHeight="1" x14ac:dyDescent="0.25"/>
    <row r="5684" ht="19.7" customHeight="1" x14ac:dyDescent="0.25"/>
    <row r="5685" ht="19.7" customHeight="1" x14ac:dyDescent="0.25"/>
    <row r="5686" ht="19.7" customHeight="1" x14ac:dyDescent="0.25"/>
    <row r="5687" ht="19.7" customHeight="1" x14ac:dyDescent="0.25"/>
    <row r="5688" ht="19.7" customHeight="1" x14ac:dyDescent="0.25"/>
    <row r="5689" ht="19.7" customHeight="1" x14ac:dyDescent="0.25"/>
    <row r="5690" ht="19.7" customHeight="1" x14ac:dyDescent="0.25"/>
    <row r="5691" ht="19.7" customHeight="1" x14ac:dyDescent="0.25"/>
    <row r="5692" ht="19.7" customHeight="1" x14ac:dyDescent="0.25"/>
    <row r="5693" ht="19.7" customHeight="1" x14ac:dyDescent="0.25"/>
    <row r="5694" ht="19.7" customHeight="1" x14ac:dyDescent="0.25"/>
    <row r="5695" ht="19.7" customHeight="1" x14ac:dyDescent="0.25"/>
    <row r="5696" ht="19.7" customHeight="1" x14ac:dyDescent="0.25"/>
    <row r="5697" ht="19.7" customHeight="1" x14ac:dyDescent="0.25"/>
    <row r="5698" ht="19.7" customHeight="1" x14ac:dyDescent="0.25"/>
    <row r="5699" ht="19.7" customHeight="1" x14ac:dyDescent="0.25"/>
    <row r="5700" ht="19.7" customHeight="1" x14ac:dyDescent="0.25"/>
    <row r="5701" ht="19.7" customHeight="1" x14ac:dyDescent="0.25"/>
    <row r="5702" ht="19.7" customHeight="1" x14ac:dyDescent="0.25"/>
    <row r="5703" ht="19.7" customHeight="1" x14ac:dyDescent="0.25"/>
    <row r="5704" ht="19.7" customHeight="1" x14ac:dyDescent="0.25"/>
    <row r="5705" ht="19.7" customHeight="1" x14ac:dyDescent="0.25"/>
    <row r="5706" ht="19.7" customHeight="1" x14ac:dyDescent="0.25"/>
    <row r="5707" ht="19.7" customHeight="1" x14ac:dyDescent="0.25"/>
    <row r="5708" ht="19.7" customHeight="1" x14ac:dyDescent="0.25"/>
    <row r="5709" ht="19.7" customHeight="1" x14ac:dyDescent="0.25"/>
    <row r="5710" ht="19.7" customHeight="1" x14ac:dyDescent="0.25"/>
    <row r="5711" ht="19.7" customHeight="1" x14ac:dyDescent="0.25"/>
    <row r="5712" ht="19.7" customHeight="1" x14ac:dyDescent="0.25"/>
    <row r="5713" ht="19.7" customHeight="1" x14ac:dyDescent="0.25"/>
    <row r="5714" ht="19.7" customHeight="1" x14ac:dyDescent="0.25"/>
    <row r="5715" ht="19.7" customHeight="1" x14ac:dyDescent="0.25"/>
    <row r="5716" ht="19.7" customHeight="1" x14ac:dyDescent="0.25"/>
    <row r="5717" ht="19.7" customHeight="1" x14ac:dyDescent="0.25"/>
    <row r="5718" ht="19.7" customHeight="1" x14ac:dyDescent="0.25"/>
    <row r="5719" ht="19.7" customHeight="1" x14ac:dyDescent="0.25"/>
    <row r="5720" ht="19.7" customHeight="1" x14ac:dyDescent="0.25"/>
    <row r="5721" ht="19.7" customHeight="1" x14ac:dyDescent="0.25"/>
    <row r="5722" ht="19.7" customHeight="1" x14ac:dyDescent="0.25"/>
    <row r="5723" ht="19.7" customHeight="1" x14ac:dyDescent="0.25"/>
    <row r="5724" ht="19.7" customHeight="1" x14ac:dyDescent="0.25"/>
    <row r="5725" ht="19.7" customHeight="1" x14ac:dyDescent="0.25"/>
    <row r="5726" ht="19.7" customHeight="1" x14ac:dyDescent="0.25"/>
    <row r="5727" ht="19.7" customHeight="1" x14ac:dyDescent="0.25"/>
    <row r="5728" ht="19.7" customHeight="1" x14ac:dyDescent="0.25"/>
    <row r="5729" ht="19.7" customHeight="1" x14ac:dyDescent="0.25"/>
    <row r="5730" ht="19.7" customHeight="1" x14ac:dyDescent="0.25"/>
    <row r="5731" ht="19.7" customHeight="1" x14ac:dyDescent="0.25"/>
    <row r="5732" ht="19.7" customHeight="1" x14ac:dyDescent="0.25"/>
    <row r="5733" ht="19.7" customHeight="1" x14ac:dyDescent="0.25"/>
    <row r="5734" ht="19.7" customHeight="1" x14ac:dyDescent="0.25"/>
    <row r="5735" ht="19.7" customHeight="1" x14ac:dyDescent="0.25"/>
    <row r="5736" ht="19.7" customHeight="1" x14ac:dyDescent="0.25"/>
    <row r="5737" ht="19.7" customHeight="1" x14ac:dyDescent="0.25"/>
    <row r="5738" ht="19.7" customHeight="1" x14ac:dyDescent="0.25"/>
    <row r="5739" ht="19.7" customHeight="1" x14ac:dyDescent="0.25"/>
    <row r="5740" ht="19.7" customHeight="1" x14ac:dyDescent="0.25"/>
    <row r="5741" ht="19.7" customHeight="1" x14ac:dyDescent="0.25"/>
    <row r="5742" ht="19.7" customHeight="1" x14ac:dyDescent="0.25"/>
    <row r="5743" ht="19.7" customHeight="1" x14ac:dyDescent="0.25"/>
    <row r="5744" ht="19.7" customHeight="1" x14ac:dyDescent="0.25"/>
    <row r="5745" ht="19.7" customHeight="1" x14ac:dyDescent="0.25"/>
    <row r="5746" ht="19.7" customHeight="1" x14ac:dyDescent="0.25"/>
    <row r="5747" ht="19.7" customHeight="1" x14ac:dyDescent="0.25"/>
    <row r="5748" ht="19.7" customHeight="1" x14ac:dyDescent="0.25"/>
    <row r="5749" ht="19.7" customHeight="1" x14ac:dyDescent="0.25"/>
    <row r="5750" ht="19.7" customHeight="1" x14ac:dyDescent="0.25"/>
    <row r="5751" ht="19.7" customHeight="1" x14ac:dyDescent="0.25"/>
    <row r="5752" ht="19.7" customHeight="1" x14ac:dyDescent="0.25"/>
    <row r="5753" ht="19.7" customHeight="1" x14ac:dyDescent="0.25"/>
    <row r="5754" ht="19.7" customHeight="1" x14ac:dyDescent="0.25"/>
    <row r="5755" ht="19.7" customHeight="1" x14ac:dyDescent="0.25"/>
    <row r="5756" ht="19.7" customHeight="1" x14ac:dyDescent="0.25"/>
    <row r="5757" ht="19.7" customHeight="1" x14ac:dyDescent="0.25"/>
    <row r="5758" ht="19.7" customHeight="1" x14ac:dyDescent="0.25"/>
    <row r="5759" ht="19.7" customHeight="1" x14ac:dyDescent="0.25"/>
    <row r="5760" ht="19.7" customHeight="1" x14ac:dyDescent="0.25"/>
    <row r="5761" ht="19.7" customHeight="1" x14ac:dyDescent="0.25"/>
    <row r="5762" ht="19.7" customHeight="1" x14ac:dyDescent="0.25"/>
    <row r="5763" ht="19.7" customHeight="1" x14ac:dyDescent="0.25"/>
    <row r="5764" ht="19.7" customHeight="1" x14ac:dyDescent="0.25"/>
    <row r="5765" ht="19.7" customHeight="1" x14ac:dyDescent="0.25"/>
    <row r="5766" ht="19.7" customHeight="1" x14ac:dyDescent="0.25"/>
    <row r="5767" ht="19.7" customHeight="1" x14ac:dyDescent="0.25"/>
    <row r="5768" ht="19.7" customHeight="1" x14ac:dyDescent="0.25"/>
    <row r="5769" ht="19.7" customHeight="1" x14ac:dyDescent="0.25"/>
    <row r="5770" ht="19.7" customHeight="1" x14ac:dyDescent="0.25"/>
    <row r="5771" ht="19.7" customHeight="1" x14ac:dyDescent="0.25"/>
    <row r="5772" ht="19.7" customHeight="1" x14ac:dyDescent="0.25"/>
    <row r="5773" ht="19.7" customHeight="1" x14ac:dyDescent="0.25"/>
    <row r="5774" ht="19.7" customHeight="1" x14ac:dyDescent="0.25"/>
    <row r="5775" ht="19.7" customHeight="1" x14ac:dyDescent="0.25"/>
    <row r="5776" ht="19.7" customHeight="1" x14ac:dyDescent="0.25"/>
    <row r="5777" ht="19.7" customHeight="1" x14ac:dyDescent="0.25"/>
    <row r="5778" ht="19.7" customHeight="1" x14ac:dyDescent="0.25"/>
    <row r="5779" ht="19.7" customHeight="1" x14ac:dyDescent="0.25"/>
    <row r="5780" ht="19.7" customHeight="1" x14ac:dyDescent="0.25"/>
    <row r="5781" ht="19.7" customHeight="1" x14ac:dyDescent="0.25"/>
    <row r="5782" ht="19.7" customHeight="1" x14ac:dyDescent="0.25"/>
    <row r="5783" ht="19.7" customHeight="1" x14ac:dyDescent="0.25"/>
    <row r="5784" ht="19.7" customHeight="1" x14ac:dyDescent="0.25"/>
    <row r="5785" ht="19.7" customHeight="1" x14ac:dyDescent="0.25"/>
    <row r="5786" ht="19.7" customHeight="1" x14ac:dyDescent="0.25"/>
    <row r="5787" ht="19.7" customHeight="1" x14ac:dyDescent="0.25"/>
    <row r="5788" ht="19.7" customHeight="1" x14ac:dyDescent="0.25"/>
    <row r="5789" ht="19.7" customHeight="1" x14ac:dyDescent="0.25"/>
    <row r="5790" ht="19.7" customHeight="1" x14ac:dyDescent="0.25"/>
    <row r="5791" ht="19.7" customHeight="1" x14ac:dyDescent="0.25"/>
    <row r="5792" ht="19.7" customHeight="1" x14ac:dyDescent="0.25"/>
    <row r="5793" ht="19.7" customHeight="1" x14ac:dyDescent="0.25"/>
    <row r="5794" ht="19.7" customHeight="1" x14ac:dyDescent="0.25"/>
    <row r="5795" ht="19.7" customHeight="1" x14ac:dyDescent="0.25"/>
    <row r="5796" ht="19.7" customHeight="1" x14ac:dyDescent="0.25"/>
    <row r="5797" ht="19.7" customHeight="1" x14ac:dyDescent="0.25"/>
    <row r="5798" ht="19.7" customHeight="1" x14ac:dyDescent="0.25"/>
    <row r="5799" ht="19.7" customHeight="1" x14ac:dyDescent="0.25"/>
    <row r="5800" ht="19.7" customHeight="1" x14ac:dyDescent="0.25"/>
    <row r="5801" ht="19.7" customHeight="1" x14ac:dyDescent="0.25"/>
    <row r="5802" ht="19.7" customHeight="1" x14ac:dyDescent="0.25"/>
    <row r="5803" ht="19.7" customHeight="1" x14ac:dyDescent="0.25"/>
    <row r="5804" ht="19.7" customHeight="1" x14ac:dyDescent="0.25"/>
    <row r="5805" ht="19.7" customHeight="1" x14ac:dyDescent="0.25"/>
    <row r="5806" ht="19.7" customHeight="1" x14ac:dyDescent="0.25"/>
    <row r="5807" ht="19.7" customHeight="1" x14ac:dyDescent="0.25"/>
    <row r="5808" ht="19.7" customHeight="1" x14ac:dyDescent="0.25"/>
    <row r="5809" ht="19.7" customHeight="1" x14ac:dyDescent="0.25"/>
    <row r="5810" ht="19.7" customHeight="1" x14ac:dyDescent="0.25"/>
    <row r="5811" ht="19.7" customHeight="1" x14ac:dyDescent="0.25"/>
    <row r="5812" ht="19.7" customHeight="1" x14ac:dyDescent="0.25"/>
    <row r="5813" ht="19.7" customHeight="1" x14ac:dyDescent="0.25"/>
    <row r="5814" ht="19.7" customHeight="1" x14ac:dyDescent="0.25"/>
    <row r="5815" ht="19.7" customHeight="1" x14ac:dyDescent="0.25"/>
    <row r="5816" ht="19.7" customHeight="1" x14ac:dyDescent="0.25"/>
    <row r="5817" ht="19.7" customHeight="1" x14ac:dyDescent="0.25"/>
    <row r="5818" ht="19.7" customHeight="1" x14ac:dyDescent="0.25"/>
    <row r="5819" ht="19.7" customHeight="1" x14ac:dyDescent="0.25"/>
    <row r="5820" ht="19.7" customHeight="1" x14ac:dyDescent="0.25"/>
    <row r="5821" ht="19.7" customHeight="1" x14ac:dyDescent="0.25"/>
    <row r="5822" ht="19.7" customHeight="1" x14ac:dyDescent="0.25"/>
    <row r="5823" ht="19.7" customHeight="1" x14ac:dyDescent="0.25"/>
    <row r="5824" ht="19.7" customHeight="1" x14ac:dyDescent="0.25"/>
    <row r="5825" ht="19.7" customHeight="1" x14ac:dyDescent="0.25"/>
    <row r="5826" ht="19.7" customHeight="1" x14ac:dyDescent="0.25"/>
    <row r="5827" ht="19.7" customHeight="1" x14ac:dyDescent="0.25"/>
    <row r="5828" ht="19.7" customHeight="1" x14ac:dyDescent="0.25"/>
    <row r="5829" ht="19.7" customHeight="1" x14ac:dyDescent="0.25"/>
    <row r="5830" ht="19.7" customHeight="1" x14ac:dyDescent="0.25"/>
    <row r="5831" ht="19.7" customHeight="1" x14ac:dyDescent="0.25"/>
    <row r="5832" ht="19.7" customHeight="1" x14ac:dyDescent="0.25"/>
    <row r="5833" ht="19.7" customHeight="1" x14ac:dyDescent="0.25"/>
    <row r="5834" ht="19.7" customHeight="1" x14ac:dyDescent="0.25"/>
    <row r="5835" ht="19.7" customHeight="1" x14ac:dyDescent="0.25"/>
    <row r="5836" ht="19.7" customHeight="1" x14ac:dyDescent="0.25"/>
    <row r="5837" ht="19.7" customHeight="1" x14ac:dyDescent="0.25"/>
    <row r="5838" ht="19.7" customHeight="1" x14ac:dyDescent="0.25"/>
    <row r="5839" ht="19.7" customHeight="1" x14ac:dyDescent="0.25"/>
    <row r="5840" ht="19.7" customHeight="1" x14ac:dyDescent="0.25"/>
    <row r="5841" ht="19.7" customHeight="1" x14ac:dyDescent="0.25"/>
    <row r="5842" ht="19.7" customHeight="1" x14ac:dyDescent="0.25"/>
    <row r="5843" ht="19.7" customHeight="1" x14ac:dyDescent="0.25"/>
    <row r="5844" ht="19.7" customHeight="1" x14ac:dyDescent="0.25"/>
    <row r="5845" ht="19.7" customHeight="1" x14ac:dyDescent="0.25"/>
    <row r="5846" ht="19.7" customHeight="1" x14ac:dyDescent="0.25"/>
    <row r="5847" ht="19.7" customHeight="1" x14ac:dyDescent="0.25"/>
    <row r="5848" ht="19.7" customHeight="1" x14ac:dyDescent="0.25"/>
    <row r="5849" ht="19.7" customHeight="1" x14ac:dyDescent="0.25"/>
    <row r="5850" ht="19.7" customHeight="1" x14ac:dyDescent="0.25"/>
    <row r="5851" ht="19.7" customHeight="1" x14ac:dyDescent="0.25"/>
    <row r="5852" ht="19.7" customHeight="1" x14ac:dyDescent="0.25"/>
    <row r="5853" ht="19.7" customHeight="1" x14ac:dyDescent="0.25"/>
    <row r="5854" ht="19.7" customHeight="1" x14ac:dyDescent="0.25"/>
    <row r="5855" ht="19.7" customHeight="1" x14ac:dyDescent="0.25"/>
    <row r="5856" ht="19.7" customHeight="1" x14ac:dyDescent="0.25"/>
    <row r="5857" ht="19.7" customHeight="1" x14ac:dyDescent="0.25"/>
    <row r="5858" ht="19.7" customHeight="1" x14ac:dyDescent="0.25"/>
    <row r="5859" ht="19.7" customHeight="1" x14ac:dyDescent="0.25"/>
    <row r="5860" ht="19.7" customHeight="1" x14ac:dyDescent="0.25"/>
    <row r="5861" ht="19.7" customHeight="1" x14ac:dyDescent="0.25"/>
    <row r="5862" ht="19.7" customHeight="1" x14ac:dyDescent="0.25"/>
    <row r="5863" ht="19.7" customHeight="1" x14ac:dyDescent="0.25"/>
    <row r="5864" ht="19.7" customHeight="1" x14ac:dyDescent="0.25"/>
    <row r="5865" ht="19.7" customHeight="1" x14ac:dyDescent="0.25"/>
    <row r="5866" ht="19.7" customHeight="1" x14ac:dyDescent="0.25"/>
    <row r="5867" ht="19.7" customHeight="1" x14ac:dyDescent="0.25"/>
    <row r="5868" ht="19.7" customHeight="1" x14ac:dyDescent="0.25"/>
    <row r="5869" ht="19.7" customHeight="1" x14ac:dyDescent="0.25"/>
    <row r="5870" ht="19.7" customHeight="1" x14ac:dyDescent="0.25"/>
    <row r="5871" ht="19.7" customHeight="1" x14ac:dyDescent="0.25"/>
    <row r="5872" ht="19.7" customHeight="1" x14ac:dyDescent="0.25"/>
    <row r="5873" ht="19.7" customHeight="1" x14ac:dyDescent="0.25"/>
    <row r="5874" ht="19.7" customHeight="1" x14ac:dyDescent="0.25"/>
    <row r="5875" ht="19.7" customHeight="1" x14ac:dyDescent="0.25"/>
    <row r="5876" ht="19.7" customHeight="1" x14ac:dyDescent="0.25"/>
    <row r="5877" ht="19.7" customHeight="1" x14ac:dyDescent="0.25"/>
    <row r="5878" ht="19.7" customHeight="1" x14ac:dyDescent="0.25"/>
    <row r="5879" ht="19.7" customHeight="1" x14ac:dyDescent="0.25"/>
    <row r="5880" ht="19.7" customHeight="1" x14ac:dyDescent="0.25"/>
    <row r="5881" ht="19.7" customHeight="1" x14ac:dyDescent="0.25"/>
    <row r="5882" ht="19.7" customHeight="1" x14ac:dyDescent="0.25"/>
    <row r="5883" ht="19.7" customHeight="1" x14ac:dyDescent="0.25"/>
    <row r="5884" ht="19.7" customHeight="1" x14ac:dyDescent="0.25"/>
    <row r="5885" ht="19.7" customHeight="1" x14ac:dyDescent="0.25"/>
    <row r="5886" ht="19.7" customHeight="1" x14ac:dyDescent="0.25"/>
    <row r="5887" ht="19.7" customHeight="1" x14ac:dyDescent="0.25"/>
    <row r="5888" ht="19.7" customHeight="1" x14ac:dyDescent="0.25"/>
    <row r="5889" ht="19.7" customHeight="1" x14ac:dyDescent="0.25"/>
    <row r="5890" ht="19.7" customHeight="1" x14ac:dyDescent="0.25"/>
    <row r="5891" ht="19.7" customHeight="1" x14ac:dyDescent="0.25"/>
    <row r="5892" ht="19.7" customHeight="1" x14ac:dyDescent="0.25"/>
    <row r="5893" ht="19.7" customHeight="1" x14ac:dyDescent="0.25"/>
    <row r="5894" ht="19.7" customHeight="1" x14ac:dyDescent="0.25"/>
    <row r="5895" ht="19.7" customHeight="1" x14ac:dyDescent="0.25"/>
    <row r="5896" ht="19.7" customHeight="1" x14ac:dyDescent="0.25"/>
    <row r="5897" ht="19.7" customHeight="1" x14ac:dyDescent="0.25"/>
    <row r="5898" ht="19.7" customHeight="1" x14ac:dyDescent="0.25"/>
    <row r="5899" ht="19.7" customHeight="1" x14ac:dyDescent="0.25"/>
    <row r="5900" ht="19.7" customHeight="1" x14ac:dyDescent="0.25"/>
    <row r="5901" ht="19.7" customHeight="1" x14ac:dyDescent="0.25"/>
    <row r="5902" ht="19.7" customHeight="1" x14ac:dyDescent="0.25"/>
    <row r="5903" ht="19.7" customHeight="1" x14ac:dyDescent="0.25"/>
    <row r="5904" ht="19.7" customHeight="1" x14ac:dyDescent="0.25"/>
    <row r="5905" ht="19.7" customHeight="1" x14ac:dyDescent="0.25"/>
    <row r="5906" ht="19.7" customHeight="1" x14ac:dyDescent="0.25"/>
    <row r="5907" ht="19.7" customHeight="1" x14ac:dyDescent="0.25"/>
    <row r="5908" ht="19.7" customHeight="1" x14ac:dyDescent="0.25"/>
    <row r="5909" ht="19.7" customHeight="1" x14ac:dyDescent="0.25"/>
    <row r="5910" ht="19.7" customHeight="1" x14ac:dyDescent="0.25"/>
    <row r="5911" ht="19.7" customHeight="1" x14ac:dyDescent="0.25"/>
    <row r="5912" ht="19.7" customHeight="1" x14ac:dyDescent="0.25"/>
    <row r="5913" ht="19.7" customHeight="1" x14ac:dyDescent="0.25"/>
    <row r="5914" ht="19.7" customHeight="1" x14ac:dyDescent="0.25"/>
    <row r="5915" ht="19.7" customHeight="1" x14ac:dyDescent="0.25"/>
    <row r="5916" ht="19.7" customHeight="1" x14ac:dyDescent="0.25"/>
    <row r="5917" ht="19.7" customHeight="1" x14ac:dyDescent="0.25"/>
    <row r="5918" ht="19.7" customHeight="1" x14ac:dyDescent="0.25"/>
    <row r="5919" ht="19.7" customHeight="1" x14ac:dyDescent="0.25"/>
    <row r="5920" ht="19.7" customHeight="1" x14ac:dyDescent="0.25"/>
    <row r="5921" ht="19.7" customHeight="1" x14ac:dyDescent="0.25"/>
    <row r="5922" ht="19.7" customHeight="1" x14ac:dyDescent="0.25"/>
    <row r="5923" ht="19.7" customHeight="1" x14ac:dyDescent="0.25"/>
    <row r="5924" ht="19.7" customHeight="1" x14ac:dyDescent="0.25"/>
    <row r="5925" ht="19.7" customHeight="1" x14ac:dyDescent="0.25"/>
    <row r="5926" ht="19.7" customHeight="1" x14ac:dyDescent="0.25"/>
    <row r="5927" ht="19.7" customHeight="1" x14ac:dyDescent="0.25"/>
    <row r="5928" ht="19.7" customHeight="1" x14ac:dyDescent="0.25"/>
    <row r="5929" ht="19.7" customHeight="1" x14ac:dyDescent="0.25"/>
    <row r="5930" ht="19.7" customHeight="1" x14ac:dyDescent="0.25"/>
    <row r="5931" ht="19.7" customHeight="1" x14ac:dyDescent="0.25"/>
    <row r="5932" ht="19.7" customHeight="1" x14ac:dyDescent="0.25"/>
    <row r="5933" ht="19.7" customHeight="1" x14ac:dyDescent="0.25"/>
    <row r="5934" ht="19.7" customHeight="1" x14ac:dyDescent="0.25"/>
    <row r="5935" ht="19.7" customHeight="1" x14ac:dyDescent="0.25"/>
    <row r="5936" ht="19.7" customHeight="1" x14ac:dyDescent="0.25"/>
    <row r="5937" ht="19.7" customHeight="1" x14ac:dyDescent="0.25"/>
    <row r="5938" ht="19.7" customHeight="1" x14ac:dyDescent="0.25"/>
    <row r="5939" ht="19.7" customHeight="1" x14ac:dyDescent="0.25"/>
    <row r="5940" ht="19.7" customHeight="1" x14ac:dyDescent="0.25"/>
    <row r="5941" ht="19.7" customHeight="1" x14ac:dyDescent="0.25"/>
    <row r="5942" ht="19.7" customHeight="1" x14ac:dyDescent="0.25"/>
    <row r="5943" ht="19.7" customHeight="1" x14ac:dyDescent="0.25"/>
    <row r="5944" ht="19.7" customHeight="1" x14ac:dyDescent="0.25"/>
    <row r="5945" ht="19.7" customHeight="1" x14ac:dyDescent="0.25"/>
    <row r="5946" ht="19.7" customHeight="1" x14ac:dyDescent="0.25"/>
    <row r="5947" ht="19.7" customHeight="1" x14ac:dyDescent="0.25"/>
    <row r="5948" ht="19.7" customHeight="1" x14ac:dyDescent="0.25"/>
    <row r="5949" ht="19.7" customHeight="1" x14ac:dyDescent="0.25"/>
    <row r="5950" ht="19.7" customHeight="1" x14ac:dyDescent="0.25"/>
    <row r="5951" ht="19.7" customHeight="1" x14ac:dyDescent="0.25"/>
    <row r="5952" ht="19.7" customHeight="1" x14ac:dyDescent="0.25"/>
    <row r="5953" ht="19.7" customHeight="1" x14ac:dyDescent="0.25"/>
    <row r="5954" ht="19.7" customHeight="1" x14ac:dyDescent="0.25"/>
    <row r="5955" ht="19.7" customHeight="1" x14ac:dyDescent="0.25"/>
    <row r="5956" ht="19.7" customHeight="1" x14ac:dyDescent="0.25"/>
    <row r="5957" ht="19.7" customHeight="1" x14ac:dyDescent="0.25"/>
    <row r="5958" ht="19.7" customHeight="1" x14ac:dyDescent="0.25"/>
    <row r="5959" ht="19.7" customHeight="1" x14ac:dyDescent="0.25"/>
    <row r="5960" ht="19.7" customHeight="1" x14ac:dyDescent="0.25"/>
    <row r="5961" ht="19.7" customHeight="1" x14ac:dyDescent="0.25"/>
    <row r="5962" ht="19.7" customHeight="1" x14ac:dyDescent="0.25"/>
    <row r="5963" ht="19.7" customHeight="1" x14ac:dyDescent="0.25"/>
    <row r="5964" ht="19.7" customHeight="1" x14ac:dyDescent="0.25"/>
    <row r="5965" ht="19.7" customHeight="1" x14ac:dyDescent="0.25"/>
    <row r="5966" ht="19.7" customHeight="1" x14ac:dyDescent="0.25"/>
    <row r="5967" ht="19.7" customHeight="1" x14ac:dyDescent="0.25"/>
    <row r="5968" ht="19.7" customHeight="1" x14ac:dyDescent="0.25"/>
    <row r="5969" ht="19.7" customHeight="1" x14ac:dyDescent="0.25"/>
    <row r="5970" ht="19.7" customHeight="1" x14ac:dyDescent="0.25"/>
    <row r="5971" ht="19.7" customHeight="1" x14ac:dyDescent="0.25"/>
    <row r="5972" ht="19.7" customHeight="1" x14ac:dyDescent="0.25"/>
    <row r="5973" ht="19.7" customHeight="1" x14ac:dyDescent="0.25"/>
    <row r="5974" ht="19.7" customHeight="1" x14ac:dyDescent="0.25"/>
    <row r="5975" ht="19.7" customHeight="1" x14ac:dyDescent="0.25"/>
    <row r="5976" ht="19.7" customHeight="1" x14ac:dyDescent="0.25"/>
    <row r="5977" ht="19.7" customHeight="1" x14ac:dyDescent="0.25"/>
    <row r="5978" ht="19.7" customHeight="1" x14ac:dyDescent="0.25"/>
    <row r="5979" ht="19.7" customHeight="1" x14ac:dyDescent="0.25"/>
    <row r="5980" ht="19.7" customHeight="1" x14ac:dyDescent="0.25"/>
    <row r="5981" ht="19.7" customHeight="1" x14ac:dyDescent="0.25"/>
    <row r="5982" ht="19.7" customHeight="1" x14ac:dyDescent="0.25"/>
    <row r="5983" ht="19.7" customHeight="1" x14ac:dyDescent="0.25"/>
    <row r="5984" ht="19.7" customHeight="1" x14ac:dyDescent="0.25"/>
    <row r="5985" ht="19.7" customHeight="1" x14ac:dyDescent="0.25"/>
    <row r="5986" ht="19.7" customHeight="1" x14ac:dyDescent="0.25"/>
    <row r="5987" ht="19.7" customHeight="1" x14ac:dyDescent="0.25"/>
    <row r="5988" ht="19.7" customHeight="1" x14ac:dyDescent="0.25"/>
    <row r="5989" ht="19.7" customHeight="1" x14ac:dyDescent="0.25"/>
    <row r="5990" ht="19.7" customHeight="1" x14ac:dyDescent="0.25"/>
    <row r="5991" ht="19.7" customHeight="1" x14ac:dyDescent="0.25"/>
    <row r="5992" ht="19.7" customHeight="1" x14ac:dyDescent="0.25"/>
    <row r="5993" ht="19.7" customHeight="1" x14ac:dyDescent="0.25"/>
    <row r="5994" ht="19.7" customHeight="1" x14ac:dyDescent="0.25"/>
    <row r="5995" ht="19.7" customHeight="1" x14ac:dyDescent="0.25"/>
    <row r="5996" ht="19.7" customHeight="1" x14ac:dyDescent="0.25"/>
    <row r="5997" ht="19.7" customHeight="1" x14ac:dyDescent="0.25"/>
    <row r="5998" ht="19.7" customHeight="1" x14ac:dyDescent="0.25"/>
    <row r="5999" ht="19.7" customHeight="1" x14ac:dyDescent="0.25"/>
    <row r="6000" ht="19.7" customHeight="1" x14ac:dyDescent="0.25"/>
    <row r="6001" ht="19.7" customHeight="1" x14ac:dyDescent="0.25"/>
    <row r="6002" ht="19.7" customHeight="1" x14ac:dyDescent="0.25"/>
    <row r="6003" ht="19.7" customHeight="1" x14ac:dyDescent="0.25"/>
    <row r="6004" ht="19.7" customHeight="1" x14ac:dyDescent="0.25"/>
    <row r="6005" ht="19.7" customHeight="1" x14ac:dyDescent="0.25"/>
    <row r="6006" ht="19.7" customHeight="1" x14ac:dyDescent="0.25"/>
    <row r="6007" ht="19.7" customHeight="1" x14ac:dyDescent="0.25"/>
    <row r="6008" ht="19.7" customHeight="1" x14ac:dyDescent="0.25"/>
    <row r="6009" ht="19.7" customHeight="1" x14ac:dyDescent="0.25"/>
    <row r="6010" ht="19.7" customHeight="1" x14ac:dyDescent="0.25"/>
    <row r="6011" ht="19.7" customHeight="1" x14ac:dyDescent="0.25"/>
    <row r="6012" ht="19.7" customHeight="1" x14ac:dyDescent="0.25"/>
    <row r="6013" ht="19.7" customHeight="1" x14ac:dyDescent="0.25"/>
    <row r="6014" ht="19.7" customHeight="1" x14ac:dyDescent="0.25"/>
    <row r="6015" ht="19.7" customHeight="1" x14ac:dyDescent="0.25"/>
    <row r="6016" ht="19.7" customHeight="1" x14ac:dyDescent="0.25"/>
    <row r="6017" ht="19.7" customHeight="1" x14ac:dyDescent="0.25"/>
    <row r="6018" ht="19.7" customHeight="1" x14ac:dyDescent="0.25"/>
    <row r="6019" ht="19.7" customHeight="1" x14ac:dyDescent="0.25"/>
    <row r="6020" ht="19.7" customHeight="1" x14ac:dyDescent="0.25"/>
    <row r="6021" ht="19.7" customHeight="1" x14ac:dyDescent="0.25"/>
    <row r="6022" ht="19.7" customHeight="1" x14ac:dyDescent="0.25"/>
    <row r="6023" ht="19.7" customHeight="1" x14ac:dyDescent="0.25"/>
    <row r="6024" ht="19.7" customHeight="1" x14ac:dyDescent="0.25"/>
    <row r="6025" ht="19.7" customHeight="1" x14ac:dyDescent="0.25"/>
    <row r="6026" ht="19.7" customHeight="1" x14ac:dyDescent="0.25"/>
    <row r="6027" ht="19.7" customHeight="1" x14ac:dyDescent="0.25"/>
    <row r="6028" ht="19.7" customHeight="1" x14ac:dyDescent="0.25"/>
    <row r="6029" ht="19.7" customHeight="1" x14ac:dyDescent="0.25"/>
    <row r="6030" ht="19.7" customHeight="1" x14ac:dyDescent="0.25"/>
    <row r="6031" ht="19.7" customHeight="1" x14ac:dyDescent="0.25"/>
    <row r="6032" ht="19.7" customHeight="1" x14ac:dyDescent="0.25"/>
    <row r="6033" ht="19.7" customHeight="1" x14ac:dyDescent="0.25"/>
    <row r="6034" ht="19.7" customHeight="1" x14ac:dyDescent="0.25"/>
    <row r="6035" ht="19.7" customHeight="1" x14ac:dyDescent="0.25"/>
    <row r="6036" ht="19.7" customHeight="1" x14ac:dyDescent="0.25"/>
    <row r="6037" ht="19.7" customHeight="1" x14ac:dyDescent="0.25"/>
    <row r="6038" ht="19.7" customHeight="1" x14ac:dyDescent="0.25"/>
    <row r="6039" ht="19.7" customHeight="1" x14ac:dyDescent="0.25"/>
    <row r="6040" ht="19.7" customHeight="1" x14ac:dyDescent="0.25"/>
    <row r="6041" ht="19.7" customHeight="1" x14ac:dyDescent="0.25"/>
    <row r="6042" ht="19.7" customHeight="1" x14ac:dyDescent="0.25"/>
    <row r="6043" ht="19.7" customHeight="1" x14ac:dyDescent="0.25"/>
    <row r="6044" ht="19.7" customHeight="1" x14ac:dyDescent="0.25"/>
    <row r="6045" ht="19.7" customHeight="1" x14ac:dyDescent="0.25"/>
    <row r="6046" ht="19.7" customHeight="1" x14ac:dyDescent="0.25"/>
    <row r="6047" ht="19.7" customHeight="1" x14ac:dyDescent="0.25"/>
    <row r="6048" ht="19.7" customHeight="1" x14ac:dyDescent="0.25"/>
    <row r="6049" ht="19.7" customHeight="1" x14ac:dyDescent="0.25"/>
    <row r="6050" ht="19.7" customHeight="1" x14ac:dyDescent="0.25"/>
    <row r="6051" ht="19.7" customHeight="1" x14ac:dyDescent="0.25"/>
    <row r="6052" ht="19.7" customHeight="1" x14ac:dyDescent="0.25"/>
    <row r="6053" ht="19.7" customHeight="1" x14ac:dyDescent="0.25"/>
    <row r="6054" ht="19.7" customHeight="1" x14ac:dyDescent="0.25"/>
    <row r="6055" ht="19.7" customHeight="1" x14ac:dyDescent="0.25"/>
    <row r="6056" ht="19.7" customHeight="1" x14ac:dyDescent="0.25"/>
    <row r="6057" ht="19.7" customHeight="1" x14ac:dyDescent="0.25"/>
    <row r="6058" ht="19.7" customHeight="1" x14ac:dyDescent="0.25"/>
    <row r="6059" ht="19.7" customHeight="1" x14ac:dyDescent="0.25"/>
    <row r="6060" ht="19.7" customHeight="1" x14ac:dyDescent="0.25"/>
    <row r="6061" ht="19.7" customHeight="1" x14ac:dyDescent="0.25"/>
    <row r="6062" ht="19.7" customHeight="1" x14ac:dyDescent="0.25"/>
    <row r="6063" ht="19.7" customHeight="1" x14ac:dyDescent="0.25"/>
    <row r="6064" ht="19.7" customHeight="1" x14ac:dyDescent="0.25"/>
    <row r="6065" ht="19.7" customHeight="1" x14ac:dyDescent="0.25"/>
    <row r="6066" ht="19.7" customHeight="1" x14ac:dyDescent="0.25"/>
    <row r="6067" ht="19.7" customHeight="1" x14ac:dyDescent="0.25"/>
    <row r="6068" ht="19.7" customHeight="1" x14ac:dyDescent="0.25"/>
    <row r="6069" ht="19.7" customHeight="1" x14ac:dyDescent="0.25"/>
    <row r="6070" ht="19.7" customHeight="1" x14ac:dyDescent="0.25"/>
    <row r="6071" ht="19.7" customHeight="1" x14ac:dyDescent="0.25"/>
    <row r="6072" ht="19.7" customHeight="1" x14ac:dyDescent="0.25"/>
    <row r="6073" ht="19.7" customHeight="1" x14ac:dyDescent="0.25"/>
    <row r="6074" ht="19.7" customHeight="1" x14ac:dyDescent="0.25"/>
    <row r="6075" ht="19.7" customHeight="1" x14ac:dyDescent="0.25"/>
    <row r="6076" ht="19.7" customHeight="1" x14ac:dyDescent="0.25"/>
    <row r="6077" ht="19.7" customHeight="1" x14ac:dyDescent="0.25"/>
    <row r="6078" ht="19.7" customHeight="1" x14ac:dyDescent="0.25"/>
    <row r="6079" ht="19.7" customHeight="1" x14ac:dyDescent="0.25"/>
    <row r="6080" ht="19.7" customHeight="1" x14ac:dyDescent="0.25"/>
    <row r="6081" ht="19.7" customHeight="1" x14ac:dyDescent="0.25"/>
    <row r="6082" ht="19.7" customHeight="1" x14ac:dyDescent="0.25"/>
    <row r="6083" ht="19.7" customHeight="1" x14ac:dyDescent="0.25"/>
    <row r="6084" ht="19.7" customHeight="1" x14ac:dyDescent="0.25"/>
    <row r="6085" ht="19.7" customHeight="1" x14ac:dyDescent="0.25"/>
    <row r="6086" ht="19.7" customHeight="1" x14ac:dyDescent="0.25"/>
    <row r="6087" ht="19.7" customHeight="1" x14ac:dyDescent="0.25"/>
    <row r="6088" ht="19.7" customHeight="1" x14ac:dyDescent="0.25"/>
    <row r="6089" ht="19.7" customHeight="1" x14ac:dyDescent="0.25"/>
    <row r="6090" ht="19.7" customHeight="1" x14ac:dyDescent="0.25"/>
    <row r="6091" ht="19.7" customHeight="1" x14ac:dyDescent="0.25"/>
    <row r="6092" ht="19.7" customHeight="1" x14ac:dyDescent="0.25"/>
    <row r="6093" ht="19.7" customHeight="1" x14ac:dyDescent="0.25"/>
    <row r="6094" ht="19.7" customHeight="1" x14ac:dyDescent="0.25"/>
    <row r="6095" ht="19.7" customHeight="1" x14ac:dyDescent="0.25"/>
    <row r="6096" ht="19.7" customHeight="1" x14ac:dyDescent="0.25"/>
    <row r="6097" ht="19.7" customHeight="1" x14ac:dyDescent="0.25"/>
    <row r="6098" ht="19.7" customHeight="1" x14ac:dyDescent="0.25"/>
    <row r="6099" ht="19.7" customHeight="1" x14ac:dyDescent="0.25"/>
    <row r="6100" ht="19.7" customHeight="1" x14ac:dyDescent="0.25"/>
    <row r="6101" ht="19.7" customHeight="1" x14ac:dyDescent="0.25"/>
    <row r="6102" ht="19.7" customHeight="1" x14ac:dyDescent="0.25"/>
    <row r="6103" ht="19.7" customHeight="1" x14ac:dyDescent="0.25"/>
    <row r="6104" ht="19.7" customHeight="1" x14ac:dyDescent="0.25"/>
    <row r="6105" ht="19.7" customHeight="1" x14ac:dyDescent="0.25"/>
    <row r="6106" ht="19.7" customHeight="1" x14ac:dyDescent="0.25"/>
    <row r="6107" ht="19.7" customHeight="1" x14ac:dyDescent="0.25"/>
    <row r="6108" ht="19.7" customHeight="1" x14ac:dyDescent="0.25"/>
    <row r="6109" ht="19.7" customHeight="1" x14ac:dyDescent="0.25"/>
    <row r="6110" ht="19.7" customHeight="1" x14ac:dyDescent="0.25"/>
    <row r="6111" ht="19.7" customHeight="1" x14ac:dyDescent="0.25"/>
    <row r="6112" ht="19.7" customHeight="1" x14ac:dyDescent="0.25"/>
    <row r="6113" ht="19.7" customHeight="1" x14ac:dyDescent="0.25"/>
    <row r="6114" ht="19.7" customHeight="1" x14ac:dyDescent="0.25"/>
    <row r="6115" ht="19.7" customHeight="1" x14ac:dyDescent="0.25"/>
    <row r="6116" ht="19.7" customHeight="1" x14ac:dyDescent="0.25"/>
    <row r="6117" ht="19.7" customHeight="1" x14ac:dyDescent="0.25"/>
    <row r="6118" ht="19.7" customHeight="1" x14ac:dyDescent="0.25"/>
    <row r="6119" ht="19.7" customHeight="1" x14ac:dyDescent="0.25"/>
    <row r="6120" ht="19.7" customHeight="1" x14ac:dyDescent="0.25"/>
    <row r="6121" ht="19.7" customHeight="1" x14ac:dyDescent="0.25"/>
    <row r="6122" ht="19.7" customHeight="1" x14ac:dyDescent="0.25"/>
    <row r="6123" ht="19.7" customHeight="1" x14ac:dyDescent="0.25"/>
    <row r="6124" ht="19.7" customHeight="1" x14ac:dyDescent="0.25"/>
    <row r="6125" ht="19.7" customHeight="1" x14ac:dyDescent="0.25"/>
    <row r="6126" ht="19.7" customHeight="1" x14ac:dyDescent="0.25"/>
    <row r="6127" ht="19.7" customHeight="1" x14ac:dyDescent="0.25"/>
    <row r="6128" ht="19.7" customHeight="1" x14ac:dyDescent="0.25"/>
    <row r="6129" ht="19.7" customHeight="1" x14ac:dyDescent="0.25"/>
    <row r="6130" ht="19.7" customHeight="1" x14ac:dyDescent="0.25"/>
    <row r="6131" ht="19.7" customHeight="1" x14ac:dyDescent="0.25"/>
    <row r="6132" ht="19.7" customHeight="1" x14ac:dyDescent="0.25"/>
    <row r="6133" ht="19.7" customHeight="1" x14ac:dyDescent="0.25"/>
    <row r="6134" ht="19.7" customHeight="1" x14ac:dyDescent="0.25"/>
    <row r="6135" ht="19.7" customHeight="1" x14ac:dyDescent="0.25"/>
    <row r="6136" ht="19.7" customHeight="1" x14ac:dyDescent="0.25"/>
    <row r="6137" ht="19.7" customHeight="1" x14ac:dyDescent="0.25"/>
    <row r="6138" ht="19.7" customHeight="1" x14ac:dyDescent="0.25"/>
    <row r="6139" ht="19.7" customHeight="1" x14ac:dyDescent="0.25"/>
    <row r="6140" ht="19.7" customHeight="1" x14ac:dyDescent="0.25"/>
    <row r="6141" ht="19.7" customHeight="1" x14ac:dyDescent="0.25"/>
    <row r="6142" ht="19.7" customHeight="1" x14ac:dyDescent="0.25"/>
    <row r="6143" ht="19.7" customHeight="1" x14ac:dyDescent="0.25"/>
    <row r="6144" ht="19.7" customHeight="1" x14ac:dyDescent="0.25"/>
    <row r="6145" ht="19.7" customHeight="1" x14ac:dyDescent="0.25"/>
    <row r="6146" ht="19.7" customHeight="1" x14ac:dyDescent="0.25"/>
    <row r="6147" ht="19.7" customHeight="1" x14ac:dyDescent="0.25"/>
    <row r="6148" ht="19.7" customHeight="1" x14ac:dyDescent="0.25"/>
    <row r="6149" ht="19.7" customHeight="1" x14ac:dyDescent="0.25"/>
    <row r="6150" ht="19.7" customHeight="1" x14ac:dyDescent="0.25"/>
    <row r="6151" ht="19.7" customHeight="1" x14ac:dyDescent="0.25"/>
    <row r="6152" ht="19.7" customHeight="1" x14ac:dyDescent="0.25"/>
    <row r="6153" ht="19.7" customHeight="1" x14ac:dyDescent="0.25"/>
    <row r="6154" ht="19.7" customHeight="1" x14ac:dyDescent="0.25"/>
    <row r="6155" ht="19.7" customHeight="1" x14ac:dyDescent="0.25"/>
    <row r="6156" ht="19.7" customHeight="1" x14ac:dyDescent="0.25"/>
    <row r="6157" ht="19.7" customHeight="1" x14ac:dyDescent="0.25"/>
    <row r="6158" ht="19.7" customHeight="1" x14ac:dyDescent="0.25"/>
    <row r="6159" ht="19.7" customHeight="1" x14ac:dyDescent="0.25"/>
    <row r="6160" ht="19.7" customHeight="1" x14ac:dyDescent="0.25"/>
    <row r="6161" ht="19.7" customHeight="1" x14ac:dyDescent="0.25"/>
    <row r="6162" ht="19.7" customHeight="1" x14ac:dyDescent="0.25"/>
    <row r="6163" ht="19.7" customHeight="1" x14ac:dyDescent="0.25"/>
    <row r="6164" ht="19.7" customHeight="1" x14ac:dyDescent="0.25"/>
    <row r="6165" ht="19.7" customHeight="1" x14ac:dyDescent="0.25"/>
    <row r="6166" ht="19.7" customHeight="1" x14ac:dyDescent="0.25"/>
    <row r="6167" ht="19.7" customHeight="1" x14ac:dyDescent="0.25"/>
    <row r="6168" ht="19.7" customHeight="1" x14ac:dyDescent="0.25"/>
    <row r="6169" ht="19.7" customHeight="1" x14ac:dyDescent="0.25"/>
    <row r="6170" ht="19.7" customHeight="1" x14ac:dyDescent="0.25"/>
    <row r="6171" ht="19.7" customHeight="1" x14ac:dyDescent="0.25"/>
    <row r="6172" ht="19.7" customHeight="1" x14ac:dyDescent="0.25"/>
    <row r="6173" ht="19.7" customHeight="1" x14ac:dyDescent="0.25"/>
    <row r="6174" ht="19.7" customHeight="1" x14ac:dyDescent="0.25"/>
    <row r="6175" ht="19.7" customHeight="1" x14ac:dyDescent="0.25"/>
    <row r="6176" ht="19.7" customHeight="1" x14ac:dyDescent="0.25"/>
    <row r="6177" ht="19.7" customHeight="1" x14ac:dyDescent="0.25"/>
    <row r="6178" ht="19.7" customHeight="1" x14ac:dyDescent="0.25"/>
    <row r="6179" ht="19.7" customHeight="1" x14ac:dyDescent="0.25"/>
    <row r="6180" ht="19.7" customHeight="1" x14ac:dyDescent="0.25"/>
    <row r="6181" ht="19.7" customHeight="1" x14ac:dyDescent="0.25"/>
    <row r="6182" ht="19.7" customHeight="1" x14ac:dyDescent="0.25"/>
    <row r="6183" ht="19.7" customHeight="1" x14ac:dyDescent="0.25"/>
    <row r="6184" ht="19.7" customHeight="1" x14ac:dyDescent="0.25"/>
    <row r="6185" ht="19.7" customHeight="1" x14ac:dyDescent="0.25"/>
    <row r="6186" ht="19.7" customHeight="1" x14ac:dyDescent="0.25"/>
    <row r="6187" ht="19.7" customHeight="1" x14ac:dyDescent="0.25"/>
    <row r="6188" ht="19.7" customHeight="1" x14ac:dyDescent="0.25"/>
    <row r="6189" ht="19.7" customHeight="1" x14ac:dyDescent="0.25"/>
    <row r="6190" ht="19.7" customHeight="1" x14ac:dyDescent="0.25"/>
    <row r="6191" ht="19.7" customHeight="1" x14ac:dyDescent="0.25"/>
    <row r="6192" ht="19.7" customHeight="1" x14ac:dyDescent="0.25"/>
    <row r="6193" ht="19.7" customHeight="1" x14ac:dyDescent="0.25"/>
    <row r="6194" ht="19.7" customHeight="1" x14ac:dyDescent="0.25"/>
    <row r="6195" ht="19.7" customHeight="1" x14ac:dyDescent="0.25"/>
    <row r="6196" ht="19.7" customHeight="1" x14ac:dyDescent="0.25"/>
    <row r="6197" ht="19.7" customHeight="1" x14ac:dyDescent="0.25"/>
    <row r="6198" ht="19.7" customHeight="1" x14ac:dyDescent="0.25"/>
    <row r="6199" ht="19.7" customHeight="1" x14ac:dyDescent="0.25"/>
    <row r="6200" ht="19.7" customHeight="1" x14ac:dyDescent="0.25"/>
    <row r="6201" ht="19.7" customHeight="1" x14ac:dyDescent="0.25"/>
    <row r="6202" ht="19.7" customHeight="1" x14ac:dyDescent="0.25"/>
    <row r="6203" ht="19.7" customHeight="1" x14ac:dyDescent="0.25"/>
    <row r="6204" ht="19.7" customHeight="1" x14ac:dyDescent="0.25"/>
    <row r="6205" ht="19.7" customHeight="1" x14ac:dyDescent="0.25"/>
    <row r="6206" ht="19.7" customHeight="1" x14ac:dyDescent="0.25"/>
    <row r="6207" ht="19.7" customHeight="1" x14ac:dyDescent="0.25"/>
    <row r="6208" ht="19.7" customHeight="1" x14ac:dyDescent="0.25"/>
    <row r="6209" ht="19.7" customHeight="1" x14ac:dyDescent="0.25"/>
    <row r="6210" ht="19.7" customHeight="1" x14ac:dyDescent="0.25"/>
    <row r="6211" ht="19.7" customHeight="1" x14ac:dyDescent="0.25"/>
    <row r="6212" ht="19.7" customHeight="1" x14ac:dyDescent="0.25"/>
    <row r="6213" ht="19.7" customHeight="1" x14ac:dyDescent="0.25"/>
    <row r="6214" ht="19.7" customHeight="1" x14ac:dyDescent="0.25"/>
    <row r="6215" ht="19.7" customHeight="1" x14ac:dyDescent="0.25"/>
    <row r="6216" ht="19.7" customHeight="1" x14ac:dyDescent="0.25"/>
    <row r="6217" ht="19.7" customHeight="1" x14ac:dyDescent="0.25"/>
    <row r="6218" ht="19.7" customHeight="1" x14ac:dyDescent="0.25"/>
    <row r="6219" ht="19.7" customHeight="1" x14ac:dyDescent="0.25"/>
    <row r="6220" ht="19.7" customHeight="1" x14ac:dyDescent="0.25"/>
    <row r="6221" ht="19.7" customHeight="1" x14ac:dyDescent="0.25"/>
    <row r="6222" ht="19.7" customHeight="1" x14ac:dyDescent="0.25"/>
    <row r="6223" ht="19.7" customHeight="1" x14ac:dyDescent="0.25"/>
    <row r="6224" ht="19.7" customHeight="1" x14ac:dyDescent="0.25"/>
    <row r="6225" ht="19.7" customHeight="1" x14ac:dyDescent="0.25"/>
    <row r="6226" ht="19.7" customHeight="1" x14ac:dyDescent="0.25"/>
    <row r="6227" ht="19.7" customHeight="1" x14ac:dyDescent="0.25"/>
    <row r="6228" ht="19.7" customHeight="1" x14ac:dyDescent="0.25"/>
    <row r="6229" ht="19.7" customHeight="1" x14ac:dyDescent="0.25"/>
    <row r="6230" ht="19.7" customHeight="1" x14ac:dyDescent="0.25"/>
    <row r="6231" ht="19.7" customHeight="1" x14ac:dyDescent="0.25"/>
    <row r="6232" ht="19.7" customHeight="1" x14ac:dyDescent="0.25"/>
    <row r="6233" ht="19.7" customHeight="1" x14ac:dyDescent="0.25"/>
    <row r="6234" ht="19.7" customHeight="1" x14ac:dyDescent="0.25"/>
    <row r="6235" ht="19.7" customHeight="1" x14ac:dyDescent="0.25"/>
    <row r="6236" ht="19.7" customHeight="1" x14ac:dyDescent="0.25"/>
    <row r="6237" ht="19.7" customHeight="1" x14ac:dyDescent="0.25"/>
    <row r="6238" ht="19.7" customHeight="1" x14ac:dyDescent="0.25"/>
    <row r="6239" ht="19.7" customHeight="1" x14ac:dyDescent="0.25"/>
    <row r="6240" ht="19.7" customHeight="1" x14ac:dyDescent="0.25"/>
    <row r="6241" ht="19.7" customHeight="1" x14ac:dyDescent="0.25"/>
    <row r="6242" ht="19.7" customHeight="1" x14ac:dyDescent="0.25"/>
    <row r="6243" ht="19.7" customHeight="1" x14ac:dyDescent="0.25"/>
    <row r="6244" ht="19.7" customHeight="1" x14ac:dyDescent="0.25"/>
    <row r="6245" ht="19.7" customHeight="1" x14ac:dyDescent="0.25"/>
    <row r="6246" ht="19.7" customHeight="1" x14ac:dyDescent="0.25"/>
    <row r="6247" ht="19.7" customHeight="1" x14ac:dyDescent="0.25"/>
    <row r="6248" ht="19.7" customHeight="1" x14ac:dyDescent="0.25"/>
    <row r="6249" ht="19.7" customHeight="1" x14ac:dyDescent="0.25"/>
    <row r="6250" ht="19.7" customHeight="1" x14ac:dyDescent="0.25"/>
    <row r="6251" ht="19.7" customHeight="1" x14ac:dyDescent="0.25"/>
    <row r="6252" ht="19.7" customHeight="1" x14ac:dyDescent="0.25"/>
    <row r="6253" ht="19.7" customHeight="1" x14ac:dyDescent="0.25"/>
    <row r="6254" ht="19.7" customHeight="1" x14ac:dyDescent="0.25"/>
    <row r="6255" ht="19.7" customHeight="1" x14ac:dyDescent="0.25"/>
    <row r="6256" ht="19.7" customHeight="1" x14ac:dyDescent="0.25"/>
    <row r="6257" ht="19.7" customHeight="1" x14ac:dyDescent="0.25"/>
    <row r="6258" ht="19.7" customHeight="1" x14ac:dyDescent="0.25"/>
    <row r="6259" ht="19.7" customHeight="1" x14ac:dyDescent="0.25"/>
    <row r="6260" ht="19.7" customHeight="1" x14ac:dyDescent="0.25"/>
    <row r="6261" ht="19.7" customHeight="1" x14ac:dyDescent="0.25"/>
    <row r="6262" ht="19.7" customHeight="1" x14ac:dyDescent="0.25"/>
    <row r="6263" ht="19.7" customHeight="1" x14ac:dyDescent="0.25"/>
    <row r="6264" ht="19.7" customHeight="1" x14ac:dyDescent="0.25"/>
    <row r="6265" ht="19.7" customHeight="1" x14ac:dyDescent="0.25"/>
    <row r="6266" ht="19.7" customHeight="1" x14ac:dyDescent="0.25"/>
    <row r="6267" ht="19.7" customHeight="1" x14ac:dyDescent="0.25"/>
    <row r="6268" ht="19.7" customHeight="1" x14ac:dyDescent="0.25"/>
    <row r="6269" ht="19.7" customHeight="1" x14ac:dyDescent="0.25"/>
    <row r="6270" ht="19.7" customHeight="1" x14ac:dyDescent="0.25"/>
    <row r="6271" ht="19.7" customHeight="1" x14ac:dyDescent="0.25"/>
    <row r="6272" ht="19.7" customHeight="1" x14ac:dyDescent="0.25"/>
    <row r="6273" ht="19.7" customHeight="1" x14ac:dyDescent="0.25"/>
    <row r="6274" ht="19.7" customHeight="1" x14ac:dyDescent="0.25"/>
    <row r="6275" ht="19.7" customHeight="1" x14ac:dyDescent="0.25"/>
    <row r="6276" ht="19.7" customHeight="1" x14ac:dyDescent="0.25"/>
    <row r="6277" ht="19.7" customHeight="1" x14ac:dyDescent="0.25"/>
    <row r="6278" ht="19.7" customHeight="1" x14ac:dyDescent="0.25"/>
    <row r="6279" ht="19.7" customHeight="1" x14ac:dyDescent="0.25"/>
    <row r="6280" ht="19.7" customHeight="1" x14ac:dyDescent="0.25"/>
    <row r="6281" ht="19.7" customHeight="1" x14ac:dyDescent="0.25"/>
    <row r="6282" ht="19.7" customHeight="1" x14ac:dyDescent="0.25"/>
    <row r="6283" ht="19.7" customHeight="1" x14ac:dyDescent="0.25"/>
    <row r="6284" ht="19.7" customHeight="1" x14ac:dyDescent="0.25"/>
    <row r="6285" ht="19.7" customHeight="1" x14ac:dyDescent="0.25"/>
    <row r="6286" ht="19.7" customHeight="1" x14ac:dyDescent="0.25"/>
    <row r="6287" ht="19.7" customHeight="1" x14ac:dyDescent="0.25"/>
    <row r="6288" ht="19.7" customHeight="1" x14ac:dyDescent="0.25"/>
    <row r="6289" ht="19.7" customHeight="1" x14ac:dyDescent="0.25"/>
    <row r="6290" ht="19.7" customHeight="1" x14ac:dyDescent="0.25"/>
    <row r="6291" ht="19.7" customHeight="1" x14ac:dyDescent="0.25"/>
    <row r="6292" ht="19.7" customHeight="1" x14ac:dyDescent="0.25"/>
    <row r="6293" ht="19.7" customHeight="1" x14ac:dyDescent="0.25"/>
    <row r="6294" ht="19.7" customHeight="1" x14ac:dyDescent="0.25"/>
    <row r="6295" ht="19.7" customHeight="1" x14ac:dyDescent="0.25"/>
    <row r="6296" ht="19.7" customHeight="1" x14ac:dyDescent="0.25"/>
    <row r="6297" ht="19.7" customHeight="1" x14ac:dyDescent="0.25"/>
    <row r="6298" ht="19.7" customHeight="1" x14ac:dyDescent="0.25"/>
    <row r="6299" ht="19.7" customHeight="1" x14ac:dyDescent="0.25"/>
    <row r="6300" ht="19.7" customHeight="1" x14ac:dyDescent="0.25"/>
    <row r="6301" ht="19.7" customHeight="1" x14ac:dyDescent="0.25"/>
    <row r="6302" ht="19.7" customHeight="1" x14ac:dyDescent="0.25"/>
    <row r="6303" ht="19.7" customHeight="1" x14ac:dyDescent="0.25"/>
    <row r="6304" ht="19.7" customHeight="1" x14ac:dyDescent="0.25"/>
    <row r="6305" ht="19.7" customHeight="1" x14ac:dyDescent="0.25"/>
    <row r="6306" ht="19.7" customHeight="1" x14ac:dyDescent="0.25"/>
    <row r="6307" ht="19.7" customHeight="1" x14ac:dyDescent="0.25"/>
    <row r="6308" ht="19.7" customHeight="1" x14ac:dyDescent="0.25"/>
    <row r="6309" ht="19.7" customHeight="1" x14ac:dyDescent="0.25"/>
    <row r="6310" ht="19.7" customHeight="1" x14ac:dyDescent="0.25"/>
    <row r="6311" ht="19.7" customHeight="1" x14ac:dyDescent="0.25"/>
    <row r="6312" ht="19.7" customHeight="1" x14ac:dyDescent="0.25"/>
    <row r="6313" ht="19.7" customHeight="1" x14ac:dyDescent="0.25"/>
    <row r="6314" ht="19.7" customHeight="1" x14ac:dyDescent="0.25"/>
    <row r="6315" ht="19.7" customHeight="1" x14ac:dyDescent="0.25"/>
    <row r="6316" ht="19.7" customHeight="1" x14ac:dyDescent="0.25"/>
    <row r="6317" ht="19.7" customHeight="1" x14ac:dyDescent="0.25"/>
    <row r="6318" ht="19.7" customHeight="1" x14ac:dyDescent="0.25"/>
    <row r="6319" ht="19.7" customHeight="1" x14ac:dyDescent="0.25"/>
    <row r="6320" ht="19.7" customHeight="1" x14ac:dyDescent="0.25"/>
    <row r="6321" ht="19.7" customHeight="1" x14ac:dyDescent="0.25"/>
    <row r="6322" ht="19.7" customHeight="1" x14ac:dyDescent="0.25"/>
    <row r="6323" ht="19.7" customHeight="1" x14ac:dyDescent="0.25"/>
    <row r="6324" ht="19.7" customHeight="1" x14ac:dyDescent="0.25"/>
    <row r="6325" ht="19.7" customHeight="1" x14ac:dyDescent="0.25"/>
    <row r="6326" ht="19.7" customHeight="1" x14ac:dyDescent="0.25"/>
    <row r="6327" ht="19.7" customHeight="1" x14ac:dyDescent="0.25"/>
    <row r="6328" ht="19.7" customHeight="1" x14ac:dyDescent="0.25"/>
    <row r="6329" ht="19.7" customHeight="1" x14ac:dyDescent="0.25"/>
    <row r="6330" ht="19.7" customHeight="1" x14ac:dyDescent="0.25"/>
    <row r="6331" ht="19.7" customHeight="1" x14ac:dyDescent="0.25"/>
    <row r="6332" ht="19.7" customHeight="1" x14ac:dyDescent="0.25"/>
    <row r="6333" ht="19.7" customHeight="1" x14ac:dyDescent="0.25"/>
    <row r="6334" ht="19.7" customHeight="1" x14ac:dyDescent="0.25"/>
    <row r="6335" ht="19.7" customHeight="1" x14ac:dyDescent="0.25"/>
    <row r="6336" ht="19.7" customHeight="1" x14ac:dyDescent="0.25"/>
    <row r="6337" ht="19.7" customHeight="1" x14ac:dyDescent="0.25"/>
    <row r="6338" ht="19.7" customHeight="1" x14ac:dyDescent="0.25"/>
    <row r="6339" ht="19.7" customHeight="1" x14ac:dyDescent="0.25"/>
    <row r="6340" ht="19.7" customHeight="1" x14ac:dyDescent="0.25"/>
    <row r="6341" ht="19.7" customHeight="1" x14ac:dyDescent="0.25"/>
    <row r="6342" ht="19.7" customHeight="1" x14ac:dyDescent="0.25"/>
    <row r="6343" ht="19.7" customHeight="1" x14ac:dyDescent="0.25"/>
    <row r="6344" ht="19.7" customHeight="1" x14ac:dyDescent="0.25"/>
    <row r="6345" ht="19.7" customHeight="1" x14ac:dyDescent="0.25"/>
    <row r="6346" ht="19.7" customHeight="1" x14ac:dyDescent="0.25"/>
    <row r="6347" ht="19.7" customHeight="1" x14ac:dyDescent="0.25"/>
    <row r="6348" ht="19.7" customHeight="1" x14ac:dyDescent="0.25"/>
    <row r="6349" ht="19.7" customHeight="1" x14ac:dyDescent="0.25"/>
    <row r="6350" ht="19.7" customHeight="1" x14ac:dyDescent="0.25"/>
    <row r="6351" ht="19.7" customHeight="1" x14ac:dyDescent="0.25"/>
    <row r="6352" ht="19.7" customHeight="1" x14ac:dyDescent="0.25"/>
    <row r="6353" ht="19.7" customHeight="1" x14ac:dyDescent="0.25"/>
    <row r="6354" ht="19.7" customHeight="1" x14ac:dyDescent="0.25"/>
    <row r="6355" ht="19.7" customHeight="1" x14ac:dyDescent="0.25"/>
    <row r="6356" ht="19.7" customHeight="1" x14ac:dyDescent="0.25"/>
    <row r="6357" ht="19.7" customHeight="1" x14ac:dyDescent="0.25"/>
    <row r="6358" ht="19.7" customHeight="1" x14ac:dyDescent="0.25"/>
    <row r="6359" ht="19.7" customHeight="1" x14ac:dyDescent="0.25"/>
    <row r="6360" ht="19.7" customHeight="1" x14ac:dyDescent="0.25"/>
    <row r="6361" ht="19.7" customHeight="1" x14ac:dyDescent="0.25"/>
    <row r="6362" ht="19.7" customHeight="1" x14ac:dyDescent="0.25"/>
    <row r="6363" ht="19.7" customHeight="1" x14ac:dyDescent="0.25"/>
    <row r="6364" ht="19.7" customHeight="1" x14ac:dyDescent="0.25"/>
  </sheetData>
  <mergeCells count="391">
    <mergeCell ref="AK74:AN74"/>
    <mergeCell ref="AL262:AM262"/>
    <mergeCell ref="AJ262:AK262"/>
    <mergeCell ref="AL264:AN264"/>
    <mergeCell ref="AC264:AE264"/>
    <mergeCell ref="AA264:AB264"/>
    <mergeCell ref="U264:V264"/>
    <mergeCell ref="AE244:AH244"/>
    <mergeCell ref="AC244:AD244"/>
    <mergeCell ref="AD247:AG247"/>
    <mergeCell ref="AK161:AM161"/>
    <mergeCell ref="AG113:AJ113"/>
    <mergeCell ref="AG111:AJ111"/>
    <mergeCell ref="AA170:AD170"/>
    <mergeCell ref="R170:U170"/>
    <mergeCell ref="AB141:AE141"/>
    <mergeCell ref="Z141:AA141"/>
    <mergeCell ref="AB143:AE143"/>
    <mergeCell ref="AB145:AE145"/>
    <mergeCell ref="AD135:AG135"/>
    <mergeCell ref="AI125:AJ125"/>
    <mergeCell ref="AF89:AI89"/>
    <mergeCell ref="C264:H264"/>
    <mergeCell ref="I264:O264"/>
    <mergeCell ref="AF260:AH260"/>
    <mergeCell ref="AD260:AE260"/>
    <mergeCell ref="R260:T260"/>
    <mergeCell ref="P260:Q260"/>
    <mergeCell ref="D260:F260"/>
    <mergeCell ref="B260:C260"/>
    <mergeCell ref="AA251:AC251"/>
    <mergeCell ref="Y251:Z251"/>
    <mergeCell ref="Y253:AA253"/>
    <mergeCell ref="W253:X253"/>
    <mergeCell ref="D253:F253"/>
    <mergeCell ref="B253:C253"/>
    <mergeCell ref="AE255:AG255"/>
    <mergeCell ref="AC255:AD255"/>
    <mergeCell ref="P257:R257"/>
    <mergeCell ref="N257:O257"/>
    <mergeCell ref="H257:J257"/>
    <mergeCell ref="Z143:AA143"/>
    <mergeCell ref="Z145:AA145"/>
    <mergeCell ref="P170:Q170"/>
    <mergeCell ref="H235:I235"/>
    <mergeCell ref="F235:G235"/>
    <mergeCell ref="P235:Q235"/>
    <mergeCell ref="R235:S235"/>
    <mergeCell ref="P233:Q233"/>
    <mergeCell ref="R233:S233"/>
    <mergeCell ref="P224:Q224"/>
    <mergeCell ref="R222:S222"/>
    <mergeCell ref="P222:Q222"/>
    <mergeCell ref="B218:C218"/>
    <mergeCell ref="AE175:AF175"/>
    <mergeCell ref="AC175:AD175"/>
    <mergeCell ref="AD185:AE185"/>
    <mergeCell ref="AF185:AG185"/>
    <mergeCell ref="B191:Z191"/>
    <mergeCell ref="T195:W195"/>
    <mergeCell ref="R195:S195"/>
    <mergeCell ref="Y199:AB199"/>
    <mergeCell ref="W199:X199"/>
    <mergeCell ref="AC201:AF201"/>
    <mergeCell ref="AA201:AB201"/>
    <mergeCell ref="AA177:AD177"/>
    <mergeCell ref="Y177:Z177"/>
    <mergeCell ref="AA179:AD179"/>
    <mergeCell ref="Y179:Z179"/>
    <mergeCell ref="B181:Z181"/>
    <mergeCell ref="AC213:AE213"/>
    <mergeCell ref="W213:X213"/>
    <mergeCell ref="AD111:AF111"/>
    <mergeCell ref="AA72:AB72"/>
    <mergeCell ref="X68:Y68"/>
    <mergeCell ref="AC72:AE72"/>
    <mergeCell ref="Z68:AB68"/>
    <mergeCell ref="AA75:AC75"/>
    <mergeCell ref="AD113:AF113"/>
    <mergeCell ref="AE118:AG118"/>
    <mergeCell ref="U127:X127"/>
    <mergeCell ref="Z123:AC123"/>
    <mergeCell ref="AC85:AE85"/>
    <mergeCell ref="AE102:AH102"/>
    <mergeCell ref="AC102:AD102"/>
    <mergeCell ref="AD104:AG104"/>
    <mergeCell ref="AB104:AC104"/>
    <mergeCell ref="AD107:AG107"/>
    <mergeCell ref="AC89:AE89"/>
    <mergeCell ref="AD91:AG91"/>
    <mergeCell ref="AA107:AC107"/>
    <mergeCell ref="AF85:AI85"/>
    <mergeCell ref="Y70:AB70"/>
    <mergeCell ref="AD74:AJ74"/>
    <mergeCell ref="U168:X168"/>
    <mergeCell ref="V149:Y149"/>
    <mergeCell ref="V151:Y151"/>
    <mergeCell ref="S149:U149"/>
    <mergeCell ref="S151:U151"/>
    <mergeCell ref="AB157:AC157"/>
    <mergeCell ref="E153:G153"/>
    <mergeCell ref="U155:X155"/>
    <mergeCell ref="R155:T155"/>
    <mergeCell ref="H153:K153"/>
    <mergeCell ref="B163:Z163"/>
    <mergeCell ref="P161:R161"/>
    <mergeCell ref="N161:O161"/>
    <mergeCell ref="S168:T168"/>
    <mergeCell ref="AA91:AC91"/>
    <mergeCell ref="AC95:AE95"/>
    <mergeCell ref="AF95:AI95"/>
    <mergeCell ref="AA97:AC97"/>
    <mergeCell ref="AD97:AG97"/>
    <mergeCell ref="AB80:AE80"/>
    <mergeCell ref="Y80:AA80"/>
    <mergeCell ref="AH83:AK83"/>
    <mergeCell ref="AF83:AG83"/>
    <mergeCell ref="Y75:Z75"/>
    <mergeCell ref="D50:F50"/>
    <mergeCell ref="D52:F52"/>
    <mergeCell ref="H52:J52"/>
    <mergeCell ref="AL54:AN54"/>
    <mergeCell ref="AL56:AN56"/>
    <mergeCell ref="AL58:AN58"/>
    <mergeCell ref="AL60:AN60"/>
    <mergeCell ref="Z54:AB54"/>
    <mergeCell ref="AB56:AD56"/>
    <mergeCell ref="Z58:AB58"/>
    <mergeCell ref="AA60:AC60"/>
    <mergeCell ref="D54:F54"/>
    <mergeCell ref="F56:H56"/>
    <mergeCell ref="P54:R54"/>
    <mergeCell ref="P56:R56"/>
    <mergeCell ref="P58:R58"/>
    <mergeCell ref="P60:R60"/>
    <mergeCell ref="D58:F58"/>
    <mergeCell ref="E60:G60"/>
    <mergeCell ref="H50:J50"/>
    <mergeCell ref="W58:X58"/>
    <mergeCell ref="W60:X60"/>
    <mergeCell ref="W54:X54"/>
    <mergeCell ref="AO40:AR40"/>
    <mergeCell ref="X29:AR29"/>
    <mergeCell ref="AO30:AR30"/>
    <mergeCell ref="AO31:AR31"/>
    <mergeCell ref="AO32:AR32"/>
    <mergeCell ref="AO33:AR33"/>
    <mergeCell ref="AO34:AR34"/>
    <mergeCell ref="AO37:AR37"/>
    <mergeCell ref="X34:AH34"/>
    <mergeCell ref="AI34:AN34"/>
    <mergeCell ref="X35:AH35"/>
    <mergeCell ref="X30:AH30"/>
    <mergeCell ref="AI30:AN30"/>
    <mergeCell ref="X31:AH31"/>
    <mergeCell ref="AO38:AR38"/>
    <mergeCell ref="AO39:AR39"/>
    <mergeCell ref="AO35:AR35"/>
    <mergeCell ref="AO36:AR36"/>
    <mergeCell ref="X33:AH33"/>
    <mergeCell ref="AI33:AN33"/>
    <mergeCell ref="AI31:AN31"/>
    <mergeCell ref="X32:AH32"/>
    <mergeCell ref="AI32:AN32"/>
    <mergeCell ref="X27:AH27"/>
    <mergeCell ref="AI27:AN27"/>
    <mergeCell ref="AI28:AN28"/>
    <mergeCell ref="AI35:AN35"/>
    <mergeCell ref="X36:AH36"/>
    <mergeCell ref="X20:AH20"/>
    <mergeCell ref="AI17:AN17"/>
    <mergeCell ref="AI20:AN20"/>
    <mergeCell ref="W56:X56"/>
    <mergeCell ref="AO17:AR17"/>
    <mergeCell ref="X18:AR18"/>
    <mergeCell ref="AO19:AR19"/>
    <mergeCell ref="AO20:AR20"/>
    <mergeCell ref="AO26:AR26"/>
    <mergeCell ref="X23:AH23"/>
    <mergeCell ref="AI23:AN23"/>
    <mergeCell ref="X24:AH24"/>
    <mergeCell ref="X19:AH19"/>
    <mergeCell ref="AI19:AN19"/>
    <mergeCell ref="AO24:AR24"/>
    <mergeCell ref="AO25:AR25"/>
    <mergeCell ref="X21:AH21"/>
    <mergeCell ref="AI21:AN21"/>
    <mergeCell ref="X22:AH22"/>
    <mergeCell ref="AI22:AN22"/>
    <mergeCell ref="AI24:AN24"/>
    <mergeCell ref="AI25:AN25"/>
    <mergeCell ref="AI26:AN26"/>
    <mergeCell ref="AO27:AR27"/>
    <mergeCell ref="AO28:AR28"/>
    <mergeCell ref="AO21:AR21"/>
    <mergeCell ref="AO22:AR22"/>
    <mergeCell ref="AO23:AR23"/>
    <mergeCell ref="A40:K40"/>
    <mergeCell ref="A30:K30"/>
    <mergeCell ref="A31:K31"/>
    <mergeCell ref="A32:K32"/>
    <mergeCell ref="A33:K33"/>
    <mergeCell ref="A34:K34"/>
    <mergeCell ref="A35:K35"/>
    <mergeCell ref="X38:AH38"/>
    <mergeCell ref="AI38:AN38"/>
    <mergeCell ref="X39:AH39"/>
    <mergeCell ref="R32:U32"/>
    <mergeCell ref="R33:U33"/>
    <mergeCell ref="L40:Q40"/>
    <mergeCell ref="L32:Q32"/>
    <mergeCell ref="L33:Q33"/>
    <mergeCell ref="L34:Q34"/>
    <mergeCell ref="L35:Q35"/>
    <mergeCell ref="L36:Q36"/>
    <mergeCell ref="AI40:AN40"/>
    <mergeCell ref="A39:K39"/>
    <mergeCell ref="X37:AH37"/>
    <mergeCell ref="AI37:AN37"/>
    <mergeCell ref="AI36:AN36"/>
    <mergeCell ref="R40:U40"/>
    <mergeCell ref="R36:U36"/>
    <mergeCell ref="R37:U37"/>
    <mergeCell ref="R38:U38"/>
    <mergeCell ref="R39:U39"/>
    <mergeCell ref="L38:Q38"/>
    <mergeCell ref="L39:Q39"/>
    <mergeCell ref="L37:Q37"/>
    <mergeCell ref="X40:AH40"/>
    <mergeCell ref="AI39:AN39"/>
    <mergeCell ref="A3:U3"/>
    <mergeCell ref="A9:U9"/>
    <mergeCell ref="A18:U18"/>
    <mergeCell ref="A29:U29"/>
    <mergeCell ref="A4:K4"/>
    <mergeCell ref="A5:K5"/>
    <mergeCell ref="R34:U34"/>
    <mergeCell ref="R35:U35"/>
    <mergeCell ref="R22:U22"/>
    <mergeCell ref="R23:U23"/>
    <mergeCell ref="R24:U24"/>
    <mergeCell ref="R25:U25"/>
    <mergeCell ref="A13:U13"/>
    <mergeCell ref="A14:K14"/>
    <mergeCell ref="R10:U10"/>
    <mergeCell ref="R11:U11"/>
    <mergeCell ref="R4:U4"/>
    <mergeCell ref="R5:U5"/>
    <mergeCell ref="R6:U6"/>
    <mergeCell ref="R7:U7"/>
    <mergeCell ref="R8:U8"/>
    <mergeCell ref="R15:U15"/>
    <mergeCell ref="R16:U16"/>
    <mergeCell ref="R17:U17"/>
    <mergeCell ref="R19:U19"/>
    <mergeCell ref="R20:U20"/>
    <mergeCell ref="R21:U21"/>
    <mergeCell ref="L4:Q4"/>
    <mergeCell ref="L5:Q5"/>
    <mergeCell ref="L6:Q6"/>
    <mergeCell ref="L7:Q7"/>
    <mergeCell ref="L8:Q8"/>
    <mergeCell ref="L10:Q10"/>
    <mergeCell ref="L11:Q11"/>
    <mergeCell ref="L16:Q16"/>
    <mergeCell ref="L17:Q17"/>
    <mergeCell ref="L19:Q19"/>
    <mergeCell ref="L15:Q15"/>
    <mergeCell ref="L20:Q20"/>
    <mergeCell ref="L21:Q21"/>
    <mergeCell ref="L14:U14"/>
    <mergeCell ref="A22:K22"/>
    <mergeCell ref="L22:Q22"/>
    <mergeCell ref="L23:Q23"/>
    <mergeCell ref="L24:Q24"/>
    <mergeCell ref="L25:Q25"/>
    <mergeCell ref="AG44:AH44"/>
    <mergeCell ref="AG46:AH46"/>
    <mergeCell ref="AG45:AH45"/>
    <mergeCell ref="L44:M44"/>
    <mergeCell ref="L45:M45"/>
    <mergeCell ref="R30:U30"/>
    <mergeCell ref="R31:U31"/>
    <mergeCell ref="R28:U28"/>
    <mergeCell ref="L28:Q28"/>
    <mergeCell ref="L30:Q30"/>
    <mergeCell ref="L31:Q31"/>
    <mergeCell ref="L26:Q26"/>
    <mergeCell ref="L27:Q27"/>
    <mergeCell ref="X26:AH26"/>
    <mergeCell ref="X25:AH25"/>
    <mergeCell ref="R26:U26"/>
    <mergeCell ref="R27:U27"/>
    <mergeCell ref="A37:K37"/>
    <mergeCell ref="A38:K38"/>
    <mergeCell ref="AJ157:AM157"/>
    <mergeCell ref="AD137:AG137"/>
    <mergeCell ref="AA135:AC135"/>
    <mergeCell ref="AA137:AC137"/>
    <mergeCell ref="AB139:AE139"/>
    <mergeCell ref="Z139:AA139"/>
    <mergeCell ref="B172:Z172"/>
    <mergeCell ref="AJ179:AM179"/>
    <mergeCell ref="A6:K6"/>
    <mergeCell ref="A7:K7"/>
    <mergeCell ref="A8:K8"/>
    <mergeCell ref="A36:K36"/>
    <mergeCell ref="A24:K24"/>
    <mergeCell ref="A25:K25"/>
    <mergeCell ref="A26:K26"/>
    <mergeCell ref="A27:K27"/>
    <mergeCell ref="A23:K23"/>
    <mergeCell ref="A15:K15"/>
    <mergeCell ref="A16:K16"/>
    <mergeCell ref="A11:K11"/>
    <mergeCell ref="A10:K10"/>
    <mergeCell ref="A19:K19"/>
    <mergeCell ref="A20:K20"/>
    <mergeCell ref="A21:K21"/>
    <mergeCell ref="A54:B54"/>
    <mergeCell ref="A56:B56"/>
    <mergeCell ref="A58:B58"/>
    <mergeCell ref="A60:B60"/>
    <mergeCell ref="F115:G115"/>
    <mergeCell ref="D143:E143"/>
    <mergeCell ref="D145:E145"/>
    <mergeCell ref="R78:S78"/>
    <mergeCell ref="T78:W78"/>
    <mergeCell ref="L64:M64"/>
    <mergeCell ref="N64:P64"/>
    <mergeCell ref="P115:S115"/>
    <mergeCell ref="K115:N115"/>
    <mergeCell ref="W70:X70"/>
    <mergeCell ref="N143:Q143"/>
    <mergeCell ref="N145:Q145"/>
    <mergeCell ref="I143:L143"/>
    <mergeCell ref="I145:L145"/>
    <mergeCell ref="X64:AA64"/>
    <mergeCell ref="V64:W64"/>
    <mergeCell ref="Z130:AC130"/>
    <mergeCell ref="AC121:AF121"/>
    <mergeCell ref="W130:Y130"/>
    <mergeCell ref="W123:Y123"/>
    <mergeCell ref="AL213:AN213"/>
    <mergeCell ref="D220:E220"/>
    <mergeCell ref="D230:E230"/>
    <mergeCell ref="K213:Q213"/>
    <mergeCell ref="E213:J213"/>
    <mergeCell ref="AK205:AM205"/>
    <mergeCell ref="AE207:AG207"/>
    <mergeCell ref="AC207:AD207"/>
    <mergeCell ref="N209:P209"/>
    <mergeCell ref="L209:M209"/>
    <mergeCell ref="AK211:AM211"/>
    <mergeCell ref="F224:G224"/>
    <mergeCell ref="H224:I224"/>
    <mergeCell ref="AF222:AG222"/>
    <mergeCell ref="AH222:AI222"/>
    <mergeCell ref="AC224:AD224"/>
    <mergeCell ref="AE224:AF224"/>
    <mergeCell ref="D209:F209"/>
    <mergeCell ref="R224:S224"/>
    <mergeCell ref="AI205:AJ205"/>
    <mergeCell ref="AH211:AI211"/>
    <mergeCell ref="AF211:AG211"/>
    <mergeCell ref="D218:G218"/>
    <mergeCell ref="B211:Z211"/>
    <mergeCell ref="P266:R266"/>
    <mergeCell ref="N266:O266"/>
    <mergeCell ref="F230:I230"/>
    <mergeCell ref="F220:I220"/>
    <mergeCell ref="AH189:AK189"/>
    <mergeCell ref="Y189:AB189"/>
    <mergeCell ref="W189:X189"/>
    <mergeCell ref="N187:Q187"/>
    <mergeCell ref="L187:M187"/>
    <mergeCell ref="X203:Z203"/>
    <mergeCell ref="V203:W203"/>
    <mergeCell ref="I239:L239"/>
    <mergeCell ref="G239:H239"/>
    <mergeCell ref="AB247:AC247"/>
    <mergeCell ref="AE249:AH249"/>
    <mergeCell ref="AC249:AD249"/>
    <mergeCell ref="AH233:AI233"/>
    <mergeCell ref="AF239:AI239"/>
    <mergeCell ref="AD239:AE239"/>
    <mergeCell ref="AF242:AI242"/>
    <mergeCell ref="AD242:AE242"/>
    <mergeCell ref="AF235:AG235"/>
    <mergeCell ref="AF233:AG233"/>
    <mergeCell ref="AD235:AE235"/>
  </mergeCells>
  <conditionalFormatting sqref="AE44">
    <cfRule type="containsText" dxfId="45" priority="79" operator="containsText" text="Not OK">
      <formula>NOT(ISERROR(SEARCH("Not OK",AE44)))</formula>
    </cfRule>
    <cfRule type="containsText" dxfId="44" priority="80" operator="containsText" text="OK">
      <formula>NOT(ISERROR(SEARCH("OK",AE44)))</formula>
    </cfRule>
  </conditionalFormatting>
  <conditionalFormatting sqref="AF45">
    <cfRule type="containsText" dxfId="43" priority="77" operator="containsText" text="Not OK">
      <formula>NOT(ISERROR(SEARCH("Not OK",AF45)))</formula>
    </cfRule>
    <cfRule type="containsText" dxfId="42" priority="78" operator="containsText" text="OK">
      <formula>NOT(ISERROR(SEARCH("OK",AF45)))</formula>
    </cfRule>
  </conditionalFormatting>
  <conditionalFormatting sqref="AF46">
    <cfRule type="containsText" dxfId="41" priority="75" operator="containsText" text="Not OK">
      <formula>NOT(ISERROR(SEARCH("Not OK",AF46)))</formula>
    </cfRule>
    <cfRule type="containsText" dxfId="40" priority="76" operator="containsText" text="OK">
      <formula>NOT(ISERROR(SEARCH("OK",AF46)))</formula>
    </cfRule>
  </conditionalFormatting>
  <conditionalFormatting sqref="J44">
    <cfRule type="containsText" dxfId="39" priority="73" operator="containsText" text="Not OK">
      <formula>NOT(ISERROR(SEARCH("Not OK",J44)))</formula>
    </cfRule>
    <cfRule type="containsText" dxfId="38" priority="74" operator="containsText" text="OK">
      <formula>NOT(ISERROR(SEARCH("OK",J44)))</formula>
    </cfRule>
  </conditionalFormatting>
  <conditionalFormatting sqref="J45">
    <cfRule type="containsText" dxfId="37" priority="71" operator="containsText" text="Not OK">
      <formula>NOT(ISERROR(SEARCH("Not OK",J45)))</formula>
    </cfRule>
    <cfRule type="containsText" dxfId="36" priority="72" operator="containsText" text="OK">
      <formula>NOT(ISERROR(SEARCH("OK",J45)))</formula>
    </cfRule>
  </conditionalFormatting>
  <conditionalFormatting sqref="W58">
    <cfRule type="containsText" dxfId="35" priority="59" operator="containsText" text="Not OK">
      <formula>NOT(ISERROR(SEARCH("Not OK",W58)))</formula>
    </cfRule>
    <cfRule type="containsText" dxfId="34" priority="60" operator="containsText" text="OK">
      <formula>NOT(ISERROR(SEARCH("OK",W58)))</formula>
    </cfRule>
  </conditionalFormatting>
  <conditionalFormatting sqref="R213">
    <cfRule type="containsText" dxfId="33" priority="37" operator="containsText" text="Not OK">
      <formula>NOT(ISERROR(SEARCH("Not OK",R213)))</formula>
    </cfRule>
    <cfRule type="containsText" dxfId="32" priority="38" operator="containsText" text="OK">
      <formula>NOT(ISERROR(SEARCH("OK",R213)))</formula>
    </cfRule>
  </conditionalFormatting>
  <conditionalFormatting sqref="A58">
    <cfRule type="containsText" dxfId="31" priority="33" operator="containsText" text="Not OK">
      <formula>NOT(ISERROR(SEARCH("Not OK",A58)))</formula>
    </cfRule>
    <cfRule type="containsText" dxfId="30" priority="34" operator="containsText" text="OK">
      <formula>NOT(ISERROR(SEARCH("OK",A58)))</formula>
    </cfRule>
  </conditionalFormatting>
  <conditionalFormatting sqref="W60">
    <cfRule type="containsText" dxfId="29" priority="31" operator="containsText" text="Not OK">
      <formula>NOT(ISERROR(SEARCH("Not OK",W60)))</formula>
    </cfRule>
    <cfRule type="containsText" dxfId="28" priority="32" operator="containsText" text="OK">
      <formula>NOT(ISERROR(SEARCH("OK",W60)))</formula>
    </cfRule>
  </conditionalFormatting>
  <conditionalFormatting sqref="A60">
    <cfRule type="containsText" dxfId="27" priority="29" operator="containsText" text="Not OK">
      <formula>NOT(ISERROR(SEARCH("Not OK",A60)))</formula>
    </cfRule>
    <cfRule type="containsText" dxfId="26" priority="30" operator="containsText" text="OK">
      <formula>NOT(ISERROR(SEARCH("OK",A60)))</formula>
    </cfRule>
  </conditionalFormatting>
  <conditionalFormatting sqref="W56">
    <cfRule type="containsText" dxfId="25" priority="27" operator="containsText" text="Not OK">
      <formula>NOT(ISERROR(SEARCH("Not OK",W56)))</formula>
    </cfRule>
    <cfRule type="containsText" dxfId="24" priority="28" operator="containsText" text="OK">
      <formula>NOT(ISERROR(SEARCH("OK",W56)))</formula>
    </cfRule>
  </conditionalFormatting>
  <conditionalFormatting sqref="W54">
    <cfRule type="containsText" dxfId="23" priority="25" operator="containsText" text="Not OK">
      <formula>NOT(ISERROR(SEARCH("Not OK",W54)))</formula>
    </cfRule>
    <cfRule type="containsText" dxfId="22" priority="26" operator="containsText" text="OK">
      <formula>NOT(ISERROR(SEARCH("OK",W54)))</formula>
    </cfRule>
  </conditionalFormatting>
  <conditionalFormatting sqref="A56">
    <cfRule type="containsText" dxfId="21" priority="21" operator="containsText" text="Not OK">
      <formula>NOT(ISERROR(SEARCH("Not OK",A56)))</formula>
    </cfRule>
    <cfRule type="containsText" dxfId="20" priority="22" operator="containsText" text="OK">
      <formula>NOT(ISERROR(SEARCH("OK",A56)))</formula>
    </cfRule>
  </conditionalFormatting>
  <conditionalFormatting sqref="A54">
    <cfRule type="containsText" dxfId="19" priority="19" operator="containsText" text="Not OK">
      <formula>NOT(ISERROR(SEARCH("Not OK",A54)))</formula>
    </cfRule>
    <cfRule type="containsText" dxfId="18" priority="20" operator="containsText" text="OK">
      <formula>NOT(ISERROR(SEARCH("OK",A54)))</formula>
    </cfRule>
  </conditionalFormatting>
  <conditionalFormatting sqref="AG44">
    <cfRule type="containsText" dxfId="17" priority="17" operator="containsText" text="Not OK">
      <formula>NOT(ISERROR(SEARCH("Not OK",AG44)))</formula>
    </cfRule>
    <cfRule type="containsText" dxfId="16" priority="18" operator="containsText" text="OK">
      <formula>NOT(ISERROR(SEARCH("OK",AG44)))</formula>
    </cfRule>
  </conditionalFormatting>
  <conditionalFormatting sqref="AG45:AG46">
    <cfRule type="containsText" dxfId="15" priority="15" operator="containsText" text="Not OK">
      <formula>NOT(ISERROR(SEARCH("Not OK",AG45)))</formula>
    </cfRule>
    <cfRule type="containsText" dxfId="14" priority="16" operator="containsText" text="OK">
      <formula>NOT(ISERROR(SEARCH("OK",AG45)))</formula>
    </cfRule>
  </conditionalFormatting>
  <conditionalFormatting sqref="L44:L45">
    <cfRule type="containsText" dxfId="13" priority="13" operator="containsText" text="Not OK">
      <formula>NOT(ISERROR(SEARCH("Not OK",L44)))</formula>
    </cfRule>
    <cfRule type="containsText" dxfId="12" priority="14" operator="containsText" text="OK">
      <formula>NOT(ISERROR(SEARCH("OK",L44)))</formula>
    </cfRule>
  </conditionalFormatting>
  <conditionalFormatting sqref="F115">
    <cfRule type="containsText" dxfId="11" priority="11" operator="containsText" text="Not OK">
      <formula>NOT(ISERROR(SEARCH("Not OK",F115)))</formula>
    </cfRule>
    <cfRule type="containsText" dxfId="10" priority="12" operator="containsText" text="OK">
      <formula>NOT(ISERROR(SEARCH("OK",F115)))</formula>
    </cfRule>
  </conditionalFormatting>
  <conditionalFormatting sqref="D143">
    <cfRule type="containsText" dxfId="9" priority="9" operator="containsText" text="Not OK">
      <formula>NOT(ISERROR(SEARCH("Not OK",D143)))</formula>
    </cfRule>
    <cfRule type="containsText" dxfId="8" priority="10" operator="containsText" text="OK">
      <formula>NOT(ISERROR(SEARCH("OK",D143)))</formula>
    </cfRule>
  </conditionalFormatting>
  <conditionalFormatting sqref="D145">
    <cfRule type="containsText" dxfId="7" priority="7" operator="containsText" text="Not OK">
      <formula>NOT(ISERROR(SEARCH("Not OK",D145)))</formula>
    </cfRule>
    <cfRule type="containsText" dxfId="6" priority="8" operator="containsText" text="OK">
      <formula>NOT(ISERROR(SEARCH("OK",D145)))</formula>
    </cfRule>
  </conditionalFormatting>
  <conditionalFormatting sqref="AB157">
    <cfRule type="containsText" dxfId="5" priority="5" operator="containsText" text="Not OK">
      <formula>NOT(ISERROR(SEARCH("Not OK",AB157)))</formula>
    </cfRule>
    <cfRule type="containsText" dxfId="4" priority="6" operator="containsText" text="OK">
      <formula>NOT(ISERROR(SEARCH("OK",AB157)))</formula>
    </cfRule>
  </conditionalFormatting>
  <conditionalFormatting sqref="W213">
    <cfRule type="containsText" dxfId="3" priority="3" operator="containsText" text="Not OK">
      <formula>NOT(ISERROR(SEARCH("Not OK",W213)))</formula>
    </cfRule>
    <cfRule type="containsText" dxfId="2" priority="4" operator="containsText" text="OK">
      <formula>NOT(ISERROR(SEARCH("OK",W213)))</formula>
    </cfRule>
  </conditionalFormatting>
  <conditionalFormatting sqref="U264">
    <cfRule type="containsText" dxfId="1" priority="1" operator="containsText" text="Not OK">
      <formula>NOT(ISERROR(SEARCH("Not OK",U264)))</formula>
    </cfRule>
    <cfRule type="containsText" dxfId="0" priority="2" operator="containsText" text="OK">
      <formula>NOT(ISERROR(SEARCH("OK",U264)))</formula>
    </cfRule>
  </conditionalFormatting>
  <printOptions horizontalCentered="1" verticalCentered="1"/>
  <pageMargins left="0.62992125984251968" right="0.62992125984251968" top="0.6692913385826772" bottom="0.6692913385826772" header="0.27559055118110237" footer="0.27559055118110237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6" r:id="rId4">
          <objectPr defaultSize="0" r:id="rId5">
            <anchor moveWithCells="1">
              <from>
                <xdr:col>33</xdr:col>
                <xdr:colOff>85725</xdr:colOff>
                <xdr:row>43</xdr:row>
                <xdr:rowOff>28575</xdr:rowOff>
              </from>
              <to>
                <xdr:col>42</xdr:col>
                <xdr:colOff>142875</xdr:colOff>
                <xdr:row>44</xdr:row>
                <xdr:rowOff>76200</xdr:rowOff>
              </to>
            </anchor>
          </objectPr>
        </oleObject>
      </mc:Choice>
      <mc:Fallback>
        <oleObject progId="Word.Document.12" shapeId="1026" r:id="rId4"/>
      </mc:Fallback>
    </mc:AlternateContent>
    <mc:AlternateContent xmlns:mc="http://schemas.openxmlformats.org/markup-compatibility/2006">
      <mc:Choice Requires="x14">
        <oleObject progId="Word.Document.12" shapeId="1047" r:id="rId6">
          <objectPr defaultSize="0" r:id="rId7">
            <anchor moveWithCells="1">
              <from>
                <xdr:col>13</xdr:col>
                <xdr:colOff>9525</xdr:colOff>
                <xdr:row>43</xdr:row>
                <xdr:rowOff>28575</xdr:rowOff>
              </from>
              <to>
                <xdr:col>23</xdr:col>
                <xdr:colOff>28575</xdr:colOff>
                <xdr:row>44</xdr:row>
                <xdr:rowOff>76200</xdr:rowOff>
              </to>
            </anchor>
          </objectPr>
        </oleObject>
      </mc:Choice>
      <mc:Fallback>
        <oleObject progId="Word.Document.12" shapeId="1047" r:id="rId6"/>
      </mc:Fallback>
    </mc:AlternateContent>
    <mc:AlternateContent xmlns:mc="http://schemas.openxmlformats.org/markup-compatibility/2006">
      <mc:Choice Requires="x14">
        <oleObject progId="Word.Document.12" shapeId="1048" r:id="rId8">
          <objectPr defaultSize="0" r:id="rId9">
            <anchor moveWithCells="1">
              <from>
                <xdr:col>33</xdr:col>
                <xdr:colOff>95250</xdr:colOff>
                <xdr:row>44</xdr:row>
                <xdr:rowOff>28575</xdr:rowOff>
              </from>
              <to>
                <xdr:col>42</xdr:col>
                <xdr:colOff>9525</xdr:colOff>
                <xdr:row>45</xdr:row>
                <xdr:rowOff>95250</xdr:rowOff>
              </to>
            </anchor>
          </objectPr>
        </oleObject>
      </mc:Choice>
      <mc:Fallback>
        <oleObject progId="Word.Document.12" shapeId="1048" r:id="rId8"/>
      </mc:Fallback>
    </mc:AlternateContent>
    <mc:AlternateContent xmlns:mc="http://schemas.openxmlformats.org/markup-compatibility/2006">
      <mc:Choice Requires="x14">
        <oleObject progId="Word.Document.12" shapeId="1049" r:id="rId10">
          <objectPr defaultSize="0" r:id="rId11">
            <anchor moveWithCells="1">
              <from>
                <xdr:col>13</xdr:col>
                <xdr:colOff>19050</xdr:colOff>
                <xdr:row>44</xdr:row>
                <xdr:rowOff>9525</xdr:rowOff>
              </from>
              <to>
                <xdr:col>23</xdr:col>
                <xdr:colOff>57150</xdr:colOff>
                <xdr:row>45</xdr:row>
                <xdr:rowOff>57150</xdr:rowOff>
              </to>
            </anchor>
          </objectPr>
        </oleObject>
      </mc:Choice>
      <mc:Fallback>
        <oleObject progId="Word.Document.12" shapeId="1049" r:id="rId10"/>
      </mc:Fallback>
    </mc:AlternateContent>
    <mc:AlternateContent xmlns:mc="http://schemas.openxmlformats.org/markup-compatibility/2006">
      <mc:Choice Requires="x14">
        <oleObject progId="Word.Document.12" shapeId="1050" r:id="rId12">
          <objectPr defaultSize="0" r:id="rId13">
            <anchor moveWithCells="1">
              <from>
                <xdr:col>33</xdr:col>
                <xdr:colOff>85725</xdr:colOff>
                <xdr:row>44</xdr:row>
                <xdr:rowOff>200025</xdr:rowOff>
              </from>
              <to>
                <xdr:col>40</xdr:col>
                <xdr:colOff>133350</xdr:colOff>
                <xdr:row>46</xdr:row>
                <xdr:rowOff>190500</xdr:rowOff>
              </to>
            </anchor>
          </objectPr>
        </oleObject>
      </mc:Choice>
      <mc:Fallback>
        <oleObject progId="Word.Document.12" shapeId="1050" r:id="rId12"/>
      </mc:Fallback>
    </mc:AlternateContent>
    <mc:AlternateContent xmlns:mc="http://schemas.openxmlformats.org/markup-compatibility/2006">
      <mc:Choice Requires="x14">
        <oleObject progId="Word.Document.12" shapeId="1052" r:id="rId14">
          <objectPr defaultSize="0" r:id="rId15">
            <anchor moveWithCells="1">
              <from>
                <xdr:col>9</xdr:col>
                <xdr:colOff>123825</xdr:colOff>
                <xdr:row>48</xdr:row>
                <xdr:rowOff>180975</xdr:rowOff>
              </from>
              <to>
                <xdr:col>19</xdr:col>
                <xdr:colOff>38100</xdr:colOff>
                <xdr:row>50</xdr:row>
                <xdr:rowOff>190500</xdr:rowOff>
              </to>
            </anchor>
          </objectPr>
        </oleObject>
      </mc:Choice>
      <mc:Fallback>
        <oleObject progId="Word.Document.12" shapeId="1052" r:id="rId14"/>
      </mc:Fallback>
    </mc:AlternateContent>
    <mc:AlternateContent xmlns:mc="http://schemas.openxmlformats.org/markup-compatibility/2006">
      <mc:Choice Requires="x14">
        <oleObject progId="Word.Document.12" shapeId="1053" r:id="rId16">
          <objectPr defaultSize="0" r:id="rId17">
            <anchor moveWithCells="1">
              <from>
                <xdr:col>9</xdr:col>
                <xdr:colOff>85725</xdr:colOff>
                <xdr:row>50</xdr:row>
                <xdr:rowOff>171450</xdr:rowOff>
              </from>
              <to>
                <xdr:col>19</xdr:col>
                <xdr:colOff>123825</xdr:colOff>
                <xdr:row>52</xdr:row>
                <xdr:rowOff>180975</xdr:rowOff>
              </to>
            </anchor>
          </objectPr>
        </oleObject>
      </mc:Choice>
      <mc:Fallback>
        <oleObject progId="Word.Document.12" shapeId="1053" r:id="rId16"/>
      </mc:Fallback>
    </mc:AlternateContent>
    <mc:AlternateContent xmlns:mc="http://schemas.openxmlformats.org/markup-compatibility/2006">
      <mc:Choice Requires="x14">
        <oleObject progId="Word.Document.12" shapeId="1054" r:id="rId18">
          <objectPr defaultSize="0" r:id="rId19">
            <anchor moveWithCells="1">
              <from>
                <xdr:col>39</xdr:col>
                <xdr:colOff>123825</xdr:colOff>
                <xdr:row>52</xdr:row>
                <xdr:rowOff>171450</xdr:rowOff>
              </from>
              <to>
                <xdr:col>43</xdr:col>
                <xdr:colOff>0</xdr:colOff>
                <xdr:row>54</xdr:row>
                <xdr:rowOff>200025</xdr:rowOff>
              </to>
            </anchor>
          </objectPr>
        </oleObject>
      </mc:Choice>
      <mc:Fallback>
        <oleObject progId="Word.Document.12" shapeId="1054" r:id="rId18"/>
      </mc:Fallback>
    </mc:AlternateContent>
    <mc:AlternateContent xmlns:mc="http://schemas.openxmlformats.org/markup-compatibility/2006">
      <mc:Choice Requires="x14">
        <oleObject progId="Word.Document.12" shapeId="1055" r:id="rId20">
          <objectPr defaultSize="0" r:id="rId21">
            <anchor moveWithCells="1">
              <from>
                <xdr:col>27</xdr:col>
                <xdr:colOff>104775</xdr:colOff>
                <xdr:row>52</xdr:row>
                <xdr:rowOff>85725</xdr:rowOff>
              </from>
              <to>
                <xdr:col>36</xdr:col>
                <xdr:colOff>66675</xdr:colOff>
                <xdr:row>55</xdr:row>
                <xdr:rowOff>0</xdr:rowOff>
              </to>
            </anchor>
          </objectPr>
        </oleObject>
      </mc:Choice>
      <mc:Fallback>
        <oleObject progId="Word.Document.12" shapeId="1055" r:id="rId20"/>
      </mc:Fallback>
    </mc:AlternateContent>
    <mc:AlternateContent xmlns:mc="http://schemas.openxmlformats.org/markup-compatibility/2006">
      <mc:Choice Requires="x14">
        <oleObject progId="Word.Document.12" shapeId="1056" r:id="rId22">
          <objectPr defaultSize="0" r:id="rId23">
            <anchor moveWithCells="1">
              <from>
                <xdr:col>39</xdr:col>
                <xdr:colOff>133350</xdr:colOff>
                <xdr:row>54</xdr:row>
                <xdr:rowOff>180975</xdr:rowOff>
              </from>
              <to>
                <xdr:col>42</xdr:col>
                <xdr:colOff>95250</xdr:colOff>
                <xdr:row>56</xdr:row>
                <xdr:rowOff>180975</xdr:rowOff>
              </to>
            </anchor>
          </objectPr>
        </oleObject>
      </mc:Choice>
      <mc:Fallback>
        <oleObject progId="Word.Document.12" shapeId="1056" r:id="rId22"/>
      </mc:Fallback>
    </mc:AlternateContent>
    <mc:AlternateContent xmlns:mc="http://schemas.openxmlformats.org/markup-compatibility/2006">
      <mc:Choice Requires="x14">
        <oleObject progId="Word.Document.12" shapeId="1057" r:id="rId24">
          <objectPr defaultSize="0" r:id="rId25">
            <anchor moveWithCells="1">
              <from>
                <xdr:col>29</xdr:col>
                <xdr:colOff>123825</xdr:colOff>
                <xdr:row>55</xdr:row>
                <xdr:rowOff>19050</xdr:rowOff>
              </from>
              <to>
                <xdr:col>37</xdr:col>
                <xdr:colOff>9525</xdr:colOff>
                <xdr:row>56</xdr:row>
                <xdr:rowOff>66675</xdr:rowOff>
              </to>
            </anchor>
          </objectPr>
        </oleObject>
      </mc:Choice>
      <mc:Fallback>
        <oleObject progId="Word.Document.12" shapeId="1057" r:id="rId24"/>
      </mc:Fallback>
    </mc:AlternateContent>
    <mc:AlternateContent xmlns:mc="http://schemas.openxmlformats.org/markup-compatibility/2006">
      <mc:Choice Requires="x14">
        <oleObject progId="Word.Document.12" shapeId="1058" r:id="rId26">
          <objectPr defaultSize="0" r:id="rId27">
            <anchor moveWithCells="1">
              <from>
                <xdr:col>39</xdr:col>
                <xdr:colOff>114300</xdr:colOff>
                <xdr:row>56</xdr:row>
                <xdr:rowOff>180975</xdr:rowOff>
              </from>
              <to>
                <xdr:col>42</xdr:col>
                <xdr:colOff>133350</xdr:colOff>
                <xdr:row>58</xdr:row>
                <xdr:rowOff>209550</xdr:rowOff>
              </to>
            </anchor>
          </objectPr>
        </oleObject>
      </mc:Choice>
      <mc:Fallback>
        <oleObject progId="Word.Document.12" shapeId="1058" r:id="rId26"/>
      </mc:Fallback>
    </mc:AlternateContent>
    <mc:AlternateContent xmlns:mc="http://schemas.openxmlformats.org/markup-compatibility/2006">
      <mc:Choice Requires="x14">
        <oleObject progId="Word.Document.12" shapeId="1059" r:id="rId28">
          <objectPr defaultSize="0" r:id="rId21">
            <anchor moveWithCells="1">
              <from>
                <xdr:col>27</xdr:col>
                <xdr:colOff>104775</xdr:colOff>
                <xdr:row>56</xdr:row>
                <xdr:rowOff>85725</xdr:rowOff>
              </from>
              <to>
                <xdr:col>36</xdr:col>
                <xdr:colOff>66675</xdr:colOff>
                <xdr:row>59</xdr:row>
                <xdr:rowOff>0</xdr:rowOff>
              </to>
            </anchor>
          </objectPr>
        </oleObject>
      </mc:Choice>
      <mc:Fallback>
        <oleObject progId="Word.Document.12" shapeId="1059" r:id="rId28"/>
      </mc:Fallback>
    </mc:AlternateContent>
    <mc:AlternateContent xmlns:mc="http://schemas.openxmlformats.org/markup-compatibility/2006">
      <mc:Choice Requires="x14">
        <oleObject progId="Word.Document.12" shapeId="1060" r:id="rId29">
          <objectPr defaultSize="0" r:id="rId30">
            <anchor moveWithCells="1">
              <from>
                <xdr:col>39</xdr:col>
                <xdr:colOff>133350</xdr:colOff>
                <xdr:row>58</xdr:row>
                <xdr:rowOff>171450</xdr:rowOff>
              </from>
              <to>
                <xdr:col>42</xdr:col>
                <xdr:colOff>76200</xdr:colOff>
                <xdr:row>60</xdr:row>
                <xdr:rowOff>171450</xdr:rowOff>
              </to>
            </anchor>
          </objectPr>
        </oleObject>
      </mc:Choice>
      <mc:Fallback>
        <oleObject progId="Word.Document.12" shapeId="1060" r:id="rId29"/>
      </mc:Fallback>
    </mc:AlternateContent>
    <mc:AlternateContent xmlns:mc="http://schemas.openxmlformats.org/markup-compatibility/2006">
      <mc:Choice Requires="x14">
        <oleObject progId="Word.Document.12" shapeId="1061" r:id="rId31">
          <objectPr defaultSize="0" r:id="rId32">
            <anchor moveWithCells="1">
              <from>
                <xdr:col>28</xdr:col>
                <xdr:colOff>104775</xdr:colOff>
                <xdr:row>59</xdr:row>
                <xdr:rowOff>19050</xdr:rowOff>
              </from>
              <to>
                <xdr:col>36</xdr:col>
                <xdr:colOff>104775</xdr:colOff>
                <xdr:row>60</xdr:row>
                <xdr:rowOff>66675</xdr:rowOff>
              </to>
            </anchor>
          </objectPr>
        </oleObject>
      </mc:Choice>
      <mc:Fallback>
        <oleObject progId="Word.Document.12" shapeId="1061" r:id="rId31"/>
      </mc:Fallback>
    </mc:AlternateContent>
    <mc:AlternateContent xmlns:mc="http://schemas.openxmlformats.org/markup-compatibility/2006">
      <mc:Choice Requires="x14">
        <oleObject progId="Word.Document.12" shapeId="1063" r:id="rId33">
          <objectPr defaultSize="0" r:id="rId34">
            <anchor moveWithCells="1">
              <from>
                <xdr:col>27</xdr:col>
                <xdr:colOff>114300</xdr:colOff>
                <xdr:row>69</xdr:row>
                <xdr:rowOff>19050</xdr:rowOff>
              </from>
              <to>
                <xdr:col>43</xdr:col>
                <xdr:colOff>28575</xdr:colOff>
                <xdr:row>70</xdr:row>
                <xdr:rowOff>85725</xdr:rowOff>
              </to>
            </anchor>
          </objectPr>
        </oleObject>
      </mc:Choice>
      <mc:Fallback>
        <oleObject progId="Word.Document.12" shapeId="1063" r:id="rId33"/>
      </mc:Fallback>
    </mc:AlternateContent>
    <mc:AlternateContent xmlns:mc="http://schemas.openxmlformats.org/markup-compatibility/2006">
      <mc:Choice Requires="x14">
        <oleObject progId="Word.Document.12" shapeId="1064" r:id="rId35">
          <objectPr defaultSize="0" r:id="rId36">
            <anchor moveWithCells="1">
              <from>
                <xdr:col>30</xdr:col>
                <xdr:colOff>95250</xdr:colOff>
                <xdr:row>71</xdr:row>
                <xdr:rowOff>28575</xdr:rowOff>
              </from>
              <to>
                <xdr:col>42</xdr:col>
                <xdr:colOff>95250</xdr:colOff>
                <xdr:row>72</xdr:row>
                <xdr:rowOff>85725</xdr:rowOff>
              </to>
            </anchor>
          </objectPr>
        </oleObject>
      </mc:Choice>
      <mc:Fallback>
        <oleObject progId="Word.Document.12" shapeId="1064" r:id="rId35"/>
      </mc:Fallback>
    </mc:AlternateContent>
    <mc:AlternateContent xmlns:mc="http://schemas.openxmlformats.org/markup-compatibility/2006">
      <mc:Choice Requires="x14">
        <oleObject progId="Word.Document.12" shapeId="1068" r:id="rId37">
          <objectPr defaultSize="0" r:id="rId38">
            <anchor moveWithCells="1">
              <from>
                <xdr:col>30</xdr:col>
                <xdr:colOff>114300</xdr:colOff>
                <xdr:row>79</xdr:row>
                <xdr:rowOff>28575</xdr:rowOff>
              </from>
              <to>
                <xdr:col>42</xdr:col>
                <xdr:colOff>123825</xdr:colOff>
                <xdr:row>80</xdr:row>
                <xdr:rowOff>95250</xdr:rowOff>
              </to>
            </anchor>
          </objectPr>
        </oleObject>
      </mc:Choice>
      <mc:Fallback>
        <oleObject progId="Word.Document.12" shapeId="1068" r:id="rId37"/>
      </mc:Fallback>
    </mc:AlternateContent>
    <mc:AlternateContent xmlns:mc="http://schemas.openxmlformats.org/markup-compatibility/2006">
      <mc:Choice Requires="x14">
        <oleObject progId="Word.Document.12" shapeId="1069" r:id="rId39">
          <objectPr defaultSize="0" r:id="rId40">
            <anchor moveWithCells="1">
              <from>
                <xdr:col>36</xdr:col>
                <xdr:colOff>114300</xdr:colOff>
                <xdr:row>81</xdr:row>
                <xdr:rowOff>171450</xdr:rowOff>
              </from>
              <to>
                <xdr:col>43</xdr:col>
                <xdr:colOff>0</xdr:colOff>
                <xdr:row>84</xdr:row>
                <xdr:rowOff>19050</xdr:rowOff>
              </to>
            </anchor>
          </objectPr>
        </oleObject>
      </mc:Choice>
      <mc:Fallback>
        <oleObject progId="Word.Document.12" shapeId="1069" r:id="rId39"/>
      </mc:Fallback>
    </mc:AlternateContent>
    <mc:AlternateContent xmlns:mc="http://schemas.openxmlformats.org/markup-compatibility/2006">
      <mc:Choice Requires="x14">
        <oleObject progId="Word.Document.12" shapeId="1070" r:id="rId41">
          <objectPr defaultSize="0" autoPict="0" r:id="rId42">
            <anchor moveWithCells="1">
              <from>
                <xdr:col>34</xdr:col>
                <xdr:colOff>28575</xdr:colOff>
                <xdr:row>84</xdr:row>
                <xdr:rowOff>28575</xdr:rowOff>
              </from>
              <to>
                <xdr:col>43</xdr:col>
                <xdr:colOff>28575</xdr:colOff>
                <xdr:row>85</xdr:row>
                <xdr:rowOff>76200</xdr:rowOff>
              </to>
            </anchor>
          </objectPr>
        </oleObject>
      </mc:Choice>
      <mc:Fallback>
        <oleObject progId="Word.Document.12" shapeId="1070" r:id="rId41"/>
      </mc:Fallback>
    </mc:AlternateContent>
    <mc:AlternateContent xmlns:mc="http://schemas.openxmlformats.org/markup-compatibility/2006">
      <mc:Choice Requires="x14">
        <oleObject progId="Word.Document.12" shapeId="1073" r:id="rId43">
          <objectPr defaultSize="0" r:id="rId44">
            <anchor moveWithCells="1">
              <from>
                <xdr:col>34</xdr:col>
                <xdr:colOff>47625</xdr:colOff>
                <xdr:row>88</xdr:row>
                <xdr:rowOff>38100</xdr:rowOff>
              </from>
              <to>
                <xdr:col>41</xdr:col>
                <xdr:colOff>114300</xdr:colOff>
                <xdr:row>89</xdr:row>
                <xdr:rowOff>104775</xdr:rowOff>
              </to>
            </anchor>
          </objectPr>
        </oleObject>
      </mc:Choice>
      <mc:Fallback>
        <oleObject progId="Word.Document.12" shapeId="1073" r:id="rId43"/>
      </mc:Fallback>
    </mc:AlternateContent>
    <mc:AlternateContent xmlns:mc="http://schemas.openxmlformats.org/markup-compatibility/2006">
      <mc:Choice Requires="x14">
        <oleObject progId="Word.Document.12" shapeId="1075" r:id="rId45">
          <objectPr defaultSize="0" autoPict="0" r:id="rId46">
            <anchor moveWithCells="1">
              <from>
                <xdr:col>32</xdr:col>
                <xdr:colOff>95250</xdr:colOff>
                <xdr:row>96</xdr:row>
                <xdr:rowOff>28575</xdr:rowOff>
              </from>
              <to>
                <xdr:col>42</xdr:col>
                <xdr:colOff>38100</xdr:colOff>
                <xdr:row>97</xdr:row>
                <xdr:rowOff>95250</xdr:rowOff>
              </to>
            </anchor>
          </objectPr>
        </oleObject>
      </mc:Choice>
      <mc:Fallback>
        <oleObject progId="Word.Document.12" shapeId="1075" r:id="rId45"/>
      </mc:Fallback>
    </mc:AlternateContent>
    <mc:AlternateContent xmlns:mc="http://schemas.openxmlformats.org/markup-compatibility/2006">
      <mc:Choice Requires="x14">
        <oleObject progId="Word.Document.12" shapeId="1082" r:id="rId47">
          <objectPr defaultSize="0" r:id="rId48">
            <anchor moveWithCells="1">
              <from>
                <xdr:col>33</xdr:col>
                <xdr:colOff>104775</xdr:colOff>
                <xdr:row>101</xdr:row>
                <xdr:rowOff>38100</xdr:rowOff>
              </from>
              <to>
                <xdr:col>43</xdr:col>
                <xdr:colOff>19050</xdr:colOff>
                <xdr:row>102</xdr:row>
                <xdr:rowOff>85725</xdr:rowOff>
              </to>
            </anchor>
          </objectPr>
        </oleObject>
      </mc:Choice>
      <mc:Fallback>
        <oleObject progId="Word.Document.12" shapeId="1082" r:id="rId47"/>
      </mc:Fallback>
    </mc:AlternateContent>
    <mc:AlternateContent xmlns:mc="http://schemas.openxmlformats.org/markup-compatibility/2006">
      <mc:Choice Requires="x14">
        <oleObject progId="Word.Document.12" shapeId="1083" r:id="rId49">
          <objectPr defaultSize="0" r:id="rId50">
            <anchor moveWithCells="1">
              <from>
                <xdr:col>32</xdr:col>
                <xdr:colOff>95250</xdr:colOff>
                <xdr:row>106</xdr:row>
                <xdr:rowOff>28575</xdr:rowOff>
              </from>
              <to>
                <xdr:col>42</xdr:col>
                <xdr:colOff>133350</xdr:colOff>
                <xdr:row>107</xdr:row>
                <xdr:rowOff>95250</xdr:rowOff>
              </to>
            </anchor>
          </objectPr>
        </oleObject>
      </mc:Choice>
      <mc:Fallback>
        <oleObject progId="Word.Document.12" shapeId="1083" r:id="rId49"/>
      </mc:Fallback>
    </mc:AlternateContent>
    <mc:AlternateContent xmlns:mc="http://schemas.openxmlformats.org/markup-compatibility/2006">
      <mc:Choice Requires="x14">
        <oleObject progId="Word.Document.12" shapeId="1084" r:id="rId51">
          <objectPr defaultSize="0" r:id="rId52">
            <anchor moveWithCells="1">
              <from>
                <xdr:col>32</xdr:col>
                <xdr:colOff>123825</xdr:colOff>
                <xdr:row>102</xdr:row>
                <xdr:rowOff>133350</xdr:rowOff>
              </from>
              <to>
                <xdr:col>43</xdr:col>
                <xdr:colOff>0</xdr:colOff>
                <xdr:row>105</xdr:row>
                <xdr:rowOff>95250</xdr:rowOff>
              </to>
            </anchor>
          </objectPr>
        </oleObject>
      </mc:Choice>
      <mc:Fallback>
        <oleObject progId="Word.Document.12" shapeId="1084" r:id="rId51"/>
      </mc:Fallback>
    </mc:AlternateContent>
    <mc:AlternateContent xmlns:mc="http://schemas.openxmlformats.org/markup-compatibility/2006">
      <mc:Choice Requires="x14">
        <oleObject progId="Word.Document.12" shapeId="1087" r:id="rId53">
          <objectPr defaultSize="0" r:id="rId54">
            <anchor moveWithCells="1">
              <from>
                <xdr:col>26</xdr:col>
                <xdr:colOff>95250</xdr:colOff>
                <xdr:row>62</xdr:row>
                <xdr:rowOff>200025</xdr:rowOff>
              </from>
              <to>
                <xdr:col>34</xdr:col>
                <xdr:colOff>123825</xdr:colOff>
                <xdr:row>65</xdr:row>
                <xdr:rowOff>66675</xdr:rowOff>
              </to>
            </anchor>
          </objectPr>
        </oleObject>
      </mc:Choice>
      <mc:Fallback>
        <oleObject progId="Word.Document.12" shapeId="1087" r:id="rId53"/>
      </mc:Fallback>
    </mc:AlternateContent>
    <mc:AlternateContent xmlns:mc="http://schemas.openxmlformats.org/markup-compatibility/2006">
      <mc:Choice Requires="x14">
        <oleObject progId="Word.Document.12" shapeId="1088" r:id="rId55">
          <objectPr defaultSize="0" r:id="rId56">
            <anchor moveWithCells="1">
              <from>
                <xdr:col>15</xdr:col>
                <xdr:colOff>123825</xdr:colOff>
                <xdr:row>63</xdr:row>
                <xdr:rowOff>38100</xdr:rowOff>
              </from>
              <to>
                <xdr:col>20</xdr:col>
                <xdr:colOff>85725</xdr:colOff>
                <xdr:row>65</xdr:row>
                <xdr:rowOff>28575</xdr:rowOff>
              </to>
            </anchor>
          </objectPr>
        </oleObject>
      </mc:Choice>
      <mc:Fallback>
        <oleObject progId="Word.Document.12" shapeId="1088" r:id="rId55"/>
      </mc:Fallback>
    </mc:AlternateContent>
    <mc:AlternateContent xmlns:mc="http://schemas.openxmlformats.org/markup-compatibility/2006">
      <mc:Choice Requires="x14">
        <oleObject progId="Word.Document.12" shapeId="1092" r:id="rId57">
          <objectPr defaultSize="0" r:id="rId58">
            <anchor moveWithCells="1">
              <from>
                <xdr:col>35</xdr:col>
                <xdr:colOff>76200</xdr:colOff>
                <xdr:row>110</xdr:row>
                <xdr:rowOff>76200</xdr:rowOff>
              </from>
              <to>
                <xdr:col>42</xdr:col>
                <xdr:colOff>66675</xdr:colOff>
                <xdr:row>111</xdr:row>
                <xdr:rowOff>142875</xdr:rowOff>
              </to>
            </anchor>
          </objectPr>
        </oleObject>
      </mc:Choice>
      <mc:Fallback>
        <oleObject progId="Word.Document.12" shapeId="1092" r:id="rId57"/>
      </mc:Fallback>
    </mc:AlternateContent>
    <mc:AlternateContent xmlns:mc="http://schemas.openxmlformats.org/markup-compatibility/2006">
      <mc:Choice Requires="x14">
        <oleObject progId="Word.Document.12" shapeId="1094" r:id="rId59">
          <objectPr defaultSize="0" r:id="rId60">
            <anchor moveWithCells="1">
              <from>
                <xdr:col>35</xdr:col>
                <xdr:colOff>66675</xdr:colOff>
                <xdr:row>112</xdr:row>
                <xdr:rowOff>19050</xdr:rowOff>
              </from>
              <to>
                <xdr:col>43</xdr:col>
                <xdr:colOff>0</xdr:colOff>
                <xdr:row>113</xdr:row>
                <xdr:rowOff>85725</xdr:rowOff>
              </to>
            </anchor>
          </objectPr>
        </oleObject>
      </mc:Choice>
      <mc:Fallback>
        <oleObject progId="Word.Document.12" shapeId="1094" r:id="rId59"/>
      </mc:Fallback>
    </mc:AlternateContent>
    <mc:AlternateContent xmlns:mc="http://schemas.openxmlformats.org/markup-compatibility/2006">
      <mc:Choice Requires="x14">
        <oleObject progId="Word.Document.12" shapeId="1095" r:id="rId61">
          <objectPr defaultSize="0" autoPict="0" r:id="rId62">
            <anchor moveWithCells="1">
              <from>
                <xdr:col>29</xdr:col>
                <xdr:colOff>142875</xdr:colOff>
                <xdr:row>114</xdr:row>
                <xdr:rowOff>28575</xdr:rowOff>
              </from>
              <to>
                <xdr:col>41</xdr:col>
                <xdr:colOff>9525</xdr:colOff>
                <xdr:row>115</xdr:row>
                <xdr:rowOff>95250</xdr:rowOff>
              </to>
            </anchor>
          </objectPr>
        </oleObject>
      </mc:Choice>
      <mc:Fallback>
        <oleObject progId="Word.Document.12" shapeId="1095" r:id="rId61"/>
      </mc:Fallback>
    </mc:AlternateContent>
    <mc:AlternateContent xmlns:mc="http://schemas.openxmlformats.org/markup-compatibility/2006">
      <mc:Choice Requires="x14">
        <oleObject progId="Word.Document.12" shapeId="1096" r:id="rId63">
          <objectPr defaultSize="0" r:id="rId64">
            <anchor moveWithCells="1">
              <from>
                <xdr:col>13</xdr:col>
                <xdr:colOff>38100</xdr:colOff>
                <xdr:row>114</xdr:row>
                <xdr:rowOff>38100</xdr:rowOff>
              </from>
              <to>
                <xdr:col>14</xdr:col>
                <xdr:colOff>114300</xdr:colOff>
                <xdr:row>115</xdr:row>
                <xdr:rowOff>85725</xdr:rowOff>
              </to>
            </anchor>
          </objectPr>
        </oleObject>
      </mc:Choice>
      <mc:Fallback>
        <oleObject progId="Word.Document.12" shapeId="1096" r:id="rId63"/>
      </mc:Fallback>
    </mc:AlternateContent>
    <mc:AlternateContent xmlns:mc="http://schemas.openxmlformats.org/markup-compatibility/2006">
      <mc:Choice Requires="x14">
        <oleObject progId="Word.Document.12" shapeId="1097" r:id="rId65">
          <objectPr defaultSize="0" r:id="rId66">
            <anchor moveWithCells="1">
              <from>
                <xdr:col>31</xdr:col>
                <xdr:colOff>133350</xdr:colOff>
                <xdr:row>119</xdr:row>
                <xdr:rowOff>190500</xdr:rowOff>
              </from>
              <to>
                <xdr:col>42</xdr:col>
                <xdr:colOff>47625</xdr:colOff>
                <xdr:row>121</xdr:row>
                <xdr:rowOff>200025</xdr:rowOff>
              </to>
            </anchor>
          </objectPr>
        </oleObject>
      </mc:Choice>
      <mc:Fallback>
        <oleObject progId="Word.Document.12" shapeId="1097" r:id="rId65"/>
      </mc:Fallback>
    </mc:AlternateContent>
    <mc:AlternateContent xmlns:mc="http://schemas.openxmlformats.org/markup-compatibility/2006">
      <mc:Choice Requires="x14">
        <oleObject progId="Word.Document.12" shapeId="1098" r:id="rId67">
          <objectPr defaultSize="0" r:id="rId68">
            <anchor moveWithCells="1">
              <from>
                <xdr:col>32</xdr:col>
                <xdr:colOff>85725</xdr:colOff>
                <xdr:row>117</xdr:row>
                <xdr:rowOff>47625</xdr:rowOff>
              </from>
              <to>
                <xdr:col>41</xdr:col>
                <xdr:colOff>66675</xdr:colOff>
                <xdr:row>118</xdr:row>
                <xdr:rowOff>95250</xdr:rowOff>
              </to>
            </anchor>
          </objectPr>
        </oleObject>
      </mc:Choice>
      <mc:Fallback>
        <oleObject progId="Word.Document.12" shapeId="1098" r:id="rId67"/>
      </mc:Fallback>
    </mc:AlternateContent>
    <mc:AlternateContent xmlns:mc="http://schemas.openxmlformats.org/markup-compatibility/2006">
      <mc:Choice Requires="x14">
        <oleObject progId="Word.Document.12" shapeId="1100" r:id="rId69">
          <objectPr defaultSize="0" r:id="rId70">
            <anchor moveWithCells="1">
              <from>
                <xdr:col>35</xdr:col>
                <xdr:colOff>66675</xdr:colOff>
                <xdr:row>123</xdr:row>
                <xdr:rowOff>219075</xdr:rowOff>
              </from>
              <to>
                <xdr:col>42</xdr:col>
                <xdr:colOff>19050</xdr:colOff>
                <xdr:row>125</xdr:row>
                <xdr:rowOff>200025</xdr:rowOff>
              </to>
            </anchor>
          </objectPr>
        </oleObject>
      </mc:Choice>
      <mc:Fallback>
        <oleObject progId="Word.Document.12" shapeId="1100" r:id="rId69"/>
      </mc:Fallback>
    </mc:AlternateContent>
    <mc:AlternateContent xmlns:mc="http://schemas.openxmlformats.org/markup-compatibility/2006">
      <mc:Choice Requires="x14">
        <oleObject progId="Word.Document.12" shapeId="1105" r:id="rId71">
          <objectPr defaultSize="0" r:id="rId72">
            <anchor moveWithCells="1">
              <from>
                <xdr:col>31</xdr:col>
                <xdr:colOff>114300</xdr:colOff>
                <xdr:row>134</xdr:row>
                <xdr:rowOff>38100</xdr:rowOff>
              </from>
              <to>
                <xdr:col>39</xdr:col>
                <xdr:colOff>38100</xdr:colOff>
                <xdr:row>135</xdr:row>
                <xdr:rowOff>104775</xdr:rowOff>
              </to>
            </anchor>
          </objectPr>
        </oleObject>
      </mc:Choice>
      <mc:Fallback>
        <oleObject progId="Word.Document.12" shapeId="1105" r:id="rId71"/>
      </mc:Fallback>
    </mc:AlternateContent>
    <mc:AlternateContent xmlns:mc="http://schemas.openxmlformats.org/markup-compatibility/2006">
      <mc:Choice Requires="x14">
        <oleObject progId="Word.Document.12" shapeId="1106" r:id="rId73">
          <objectPr defaultSize="0" r:id="rId74">
            <anchor moveWithCells="1">
              <from>
                <xdr:col>32</xdr:col>
                <xdr:colOff>133350</xdr:colOff>
                <xdr:row>135</xdr:row>
                <xdr:rowOff>209550</xdr:rowOff>
              </from>
              <to>
                <xdr:col>42</xdr:col>
                <xdr:colOff>114300</xdr:colOff>
                <xdr:row>137</xdr:row>
                <xdr:rowOff>180975</xdr:rowOff>
              </to>
            </anchor>
          </objectPr>
        </oleObject>
      </mc:Choice>
      <mc:Fallback>
        <oleObject progId="Word.Document.12" shapeId="1106" r:id="rId73"/>
      </mc:Fallback>
    </mc:AlternateContent>
    <mc:AlternateContent xmlns:mc="http://schemas.openxmlformats.org/markup-compatibility/2006">
      <mc:Choice Requires="x14">
        <oleObject progId="Word.Document.12" shapeId="1111" r:id="rId75">
          <objectPr defaultSize="0" r:id="rId76">
            <anchor moveWithCells="1">
              <from>
                <xdr:col>30</xdr:col>
                <xdr:colOff>85725</xdr:colOff>
                <xdr:row>142</xdr:row>
                <xdr:rowOff>47625</xdr:rowOff>
              </from>
              <to>
                <xdr:col>42</xdr:col>
                <xdr:colOff>28575</xdr:colOff>
                <xdr:row>143</xdr:row>
                <xdr:rowOff>95250</xdr:rowOff>
              </to>
            </anchor>
          </objectPr>
        </oleObject>
      </mc:Choice>
      <mc:Fallback>
        <oleObject progId="Word.Document.12" shapeId="1111" r:id="rId75"/>
      </mc:Fallback>
    </mc:AlternateContent>
    <mc:AlternateContent xmlns:mc="http://schemas.openxmlformats.org/markup-compatibility/2006">
      <mc:Choice Requires="x14">
        <oleObject progId="Word.Document.12" shapeId="1113" r:id="rId77">
          <objectPr defaultSize="0" r:id="rId78">
            <anchor moveWithCells="1">
              <from>
                <xdr:col>18</xdr:col>
                <xdr:colOff>19050</xdr:colOff>
                <xdr:row>142</xdr:row>
                <xdr:rowOff>38100</xdr:rowOff>
              </from>
              <to>
                <xdr:col>19</xdr:col>
                <xdr:colOff>95250</xdr:colOff>
                <xdr:row>143</xdr:row>
                <xdr:rowOff>85725</xdr:rowOff>
              </to>
            </anchor>
          </objectPr>
        </oleObject>
      </mc:Choice>
      <mc:Fallback>
        <oleObject progId="Word.Document.12" shapeId="1113" r:id="rId77"/>
      </mc:Fallback>
    </mc:AlternateContent>
    <mc:AlternateContent xmlns:mc="http://schemas.openxmlformats.org/markup-compatibility/2006">
      <mc:Choice Requires="x14">
        <oleObject progId="Word.Document.12" shapeId="1114" r:id="rId79">
          <objectPr defaultSize="0" r:id="rId80">
            <anchor moveWithCells="1">
              <from>
                <xdr:col>30</xdr:col>
                <xdr:colOff>38100</xdr:colOff>
                <xdr:row>144</xdr:row>
                <xdr:rowOff>66675</xdr:rowOff>
              </from>
              <to>
                <xdr:col>42</xdr:col>
                <xdr:colOff>47625</xdr:colOff>
                <xdr:row>145</xdr:row>
                <xdr:rowOff>133350</xdr:rowOff>
              </to>
            </anchor>
          </objectPr>
        </oleObject>
      </mc:Choice>
      <mc:Fallback>
        <oleObject progId="Word.Document.12" shapeId="1114" r:id="rId79"/>
      </mc:Fallback>
    </mc:AlternateContent>
    <mc:AlternateContent xmlns:mc="http://schemas.openxmlformats.org/markup-compatibility/2006">
      <mc:Choice Requires="x14">
        <oleObject progId="Word.Document.12" shapeId="1116" r:id="rId81">
          <objectPr defaultSize="0" r:id="rId78">
            <anchor moveWithCells="1">
              <from>
                <xdr:col>18</xdr:col>
                <xdr:colOff>19050</xdr:colOff>
                <xdr:row>144</xdr:row>
                <xdr:rowOff>38100</xdr:rowOff>
              </from>
              <to>
                <xdr:col>19</xdr:col>
                <xdr:colOff>95250</xdr:colOff>
                <xdr:row>145</xdr:row>
                <xdr:rowOff>85725</xdr:rowOff>
              </to>
            </anchor>
          </objectPr>
        </oleObject>
      </mc:Choice>
      <mc:Fallback>
        <oleObject progId="Word.Document.12" shapeId="1116" r:id="rId81"/>
      </mc:Fallback>
    </mc:AlternateContent>
    <mc:AlternateContent xmlns:mc="http://schemas.openxmlformats.org/markup-compatibility/2006">
      <mc:Choice Requires="x14">
        <oleObject progId="Word.Document.12" shapeId="1118" r:id="rId82">
          <objectPr defaultSize="0" r:id="rId83">
            <anchor moveWithCells="1">
              <from>
                <xdr:col>24</xdr:col>
                <xdr:colOff>85725</xdr:colOff>
                <xdr:row>148</xdr:row>
                <xdr:rowOff>76200</xdr:rowOff>
              </from>
              <to>
                <xdr:col>43</xdr:col>
                <xdr:colOff>28575</xdr:colOff>
                <xdr:row>149</xdr:row>
                <xdr:rowOff>123825</xdr:rowOff>
              </to>
            </anchor>
          </objectPr>
        </oleObject>
      </mc:Choice>
      <mc:Fallback>
        <oleObject progId="Word.Document.12" shapeId="1118" r:id="rId82"/>
      </mc:Fallback>
    </mc:AlternateContent>
    <mc:AlternateContent xmlns:mc="http://schemas.openxmlformats.org/markup-compatibility/2006">
      <mc:Choice Requires="x14">
        <oleObject progId="Word.Document.12" shapeId="1119" r:id="rId84">
          <objectPr defaultSize="0" r:id="rId85">
            <anchor moveWithCells="1">
              <from>
                <xdr:col>24</xdr:col>
                <xdr:colOff>114300</xdr:colOff>
                <xdr:row>150</xdr:row>
                <xdr:rowOff>76200</xdr:rowOff>
              </from>
              <to>
                <xdr:col>43</xdr:col>
                <xdr:colOff>76200</xdr:colOff>
                <xdr:row>151</xdr:row>
                <xdr:rowOff>123825</xdr:rowOff>
              </to>
            </anchor>
          </objectPr>
        </oleObject>
      </mc:Choice>
      <mc:Fallback>
        <oleObject progId="Word.Document.12" shapeId="1119" r:id="rId84"/>
      </mc:Fallback>
    </mc:AlternateContent>
    <mc:AlternateContent xmlns:mc="http://schemas.openxmlformats.org/markup-compatibility/2006">
      <mc:Choice Requires="x14">
        <oleObject progId="Word.Document.12" shapeId="1120" r:id="rId86">
          <objectPr defaultSize="0" r:id="rId87">
            <anchor moveWithCells="1">
              <from>
                <xdr:col>10</xdr:col>
                <xdr:colOff>133350</xdr:colOff>
                <xdr:row>151</xdr:row>
                <xdr:rowOff>238125</xdr:rowOff>
              </from>
              <to>
                <xdr:col>43</xdr:col>
                <xdr:colOff>38100</xdr:colOff>
                <xdr:row>153</xdr:row>
                <xdr:rowOff>228600</xdr:rowOff>
              </to>
            </anchor>
          </objectPr>
        </oleObject>
      </mc:Choice>
      <mc:Fallback>
        <oleObject progId="Word.Document.12" shapeId="1120" r:id="rId86"/>
      </mc:Fallback>
    </mc:AlternateContent>
    <mc:AlternateContent xmlns:mc="http://schemas.openxmlformats.org/markup-compatibility/2006">
      <mc:Choice Requires="x14">
        <oleObject progId="Word.Document.12" shapeId="1121" r:id="rId88">
          <objectPr defaultSize="0" r:id="rId89">
            <anchor moveWithCells="1">
              <from>
                <xdr:col>22</xdr:col>
                <xdr:colOff>114300</xdr:colOff>
                <xdr:row>153</xdr:row>
                <xdr:rowOff>228600</xdr:rowOff>
              </from>
              <to>
                <xdr:col>41</xdr:col>
                <xdr:colOff>0</xdr:colOff>
                <xdr:row>155</xdr:row>
                <xdr:rowOff>200025</xdr:rowOff>
              </to>
            </anchor>
          </objectPr>
        </oleObject>
      </mc:Choice>
      <mc:Fallback>
        <oleObject progId="Word.Document.12" shapeId="1121" r:id="rId88"/>
      </mc:Fallback>
    </mc:AlternateContent>
    <mc:AlternateContent xmlns:mc="http://schemas.openxmlformats.org/markup-compatibility/2006">
      <mc:Choice Requires="x14">
        <oleObject progId="Word.Document.12" shapeId="1122" r:id="rId90">
          <objectPr defaultSize="0" r:id="rId91">
            <anchor moveWithCells="1">
              <from>
                <xdr:col>38</xdr:col>
                <xdr:colOff>95250</xdr:colOff>
                <xdr:row>155</xdr:row>
                <xdr:rowOff>219075</xdr:rowOff>
              </from>
              <to>
                <xdr:col>42</xdr:col>
                <xdr:colOff>104775</xdr:colOff>
                <xdr:row>158</xdr:row>
                <xdr:rowOff>0</xdr:rowOff>
              </to>
            </anchor>
          </objectPr>
        </oleObject>
      </mc:Choice>
      <mc:Fallback>
        <oleObject progId="Word.Document.12" shapeId="1122" r:id="rId90"/>
      </mc:Fallback>
    </mc:AlternateContent>
    <mc:AlternateContent xmlns:mc="http://schemas.openxmlformats.org/markup-compatibility/2006">
      <mc:Choice Requires="x14">
        <oleObject progId="Word.Document.12" shapeId="1124" r:id="rId92">
          <objectPr defaultSize="0" autoPict="0" r:id="rId93">
            <anchor moveWithCells="1">
              <from>
                <xdr:col>29</xdr:col>
                <xdr:colOff>85725</xdr:colOff>
                <xdr:row>156</xdr:row>
                <xdr:rowOff>76200</xdr:rowOff>
              </from>
              <to>
                <xdr:col>34</xdr:col>
                <xdr:colOff>28575</xdr:colOff>
                <xdr:row>157</xdr:row>
                <xdr:rowOff>123825</xdr:rowOff>
              </to>
            </anchor>
          </objectPr>
        </oleObject>
      </mc:Choice>
      <mc:Fallback>
        <oleObject progId="Word.Document.12" shapeId="1124" r:id="rId92"/>
      </mc:Fallback>
    </mc:AlternateContent>
    <mc:AlternateContent xmlns:mc="http://schemas.openxmlformats.org/markup-compatibility/2006">
      <mc:Choice Requires="x14">
        <oleObject progId="Word.Document.12" shapeId="1129" r:id="rId94">
          <objectPr defaultSize="0" r:id="rId95">
            <anchor moveWithCells="1">
              <from>
                <xdr:col>38</xdr:col>
                <xdr:colOff>123825</xdr:colOff>
                <xdr:row>160</xdr:row>
                <xdr:rowOff>47625</xdr:rowOff>
              </from>
              <to>
                <xdr:col>41</xdr:col>
                <xdr:colOff>104775</xdr:colOff>
                <xdr:row>161</xdr:row>
                <xdr:rowOff>114300</xdr:rowOff>
              </to>
            </anchor>
          </objectPr>
        </oleObject>
      </mc:Choice>
      <mc:Fallback>
        <oleObject progId="Word.Document.12" shapeId="1129" r:id="rId94"/>
      </mc:Fallback>
    </mc:AlternateContent>
    <mc:AlternateContent xmlns:mc="http://schemas.openxmlformats.org/markup-compatibility/2006">
      <mc:Choice Requires="x14">
        <oleObject progId="Word.Document.12" shapeId="1130" r:id="rId96">
          <objectPr defaultSize="0" r:id="rId97">
            <anchor moveWithCells="1">
              <from>
                <xdr:col>17</xdr:col>
                <xdr:colOff>85725</xdr:colOff>
                <xdr:row>159</xdr:row>
                <xdr:rowOff>85725</xdr:rowOff>
              </from>
              <to>
                <xdr:col>35</xdr:col>
                <xdr:colOff>0</xdr:colOff>
                <xdr:row>162</xdr:row>
                <xdr:rowOff>47625</xdr:rowOff>
              </to>
            </anchor>
          </objectPr>
        </oleObject>
      </mc:Choice>
      <mc:Fallback>
        <oleObject progId="Word.Document.12" shapeId="1130" r:id="rId96"/>
      </mc:Fallback>
    </mc:AlternateContent>
    <mc:AlternateContent xmlns:mc="http://schemas.openxmlformats.org/markup-compatibility/2006">
      <mc:Choice Requires="x14">
        <oleObject progId="Word.Document.12" shapeId="1132" r:id="rId98">
          <objectPr defaultSize="0" r:id="rId99">
            <anchor moveWithCells="1">
              <from>
                <xdr:col>32</xdr:col>
                <xdr:colOff>95250</xdr:colOff>
                <xdr:row>162</xdr:row>
                <xdr:rowOff>38100</xdr:rowOff>
              </from>
              <to>
                <xdr:col>34</xdr:col>
                <xdr:colOff>28575</xdr:colOff>
                <xdr:row>163</xdr:row>
                <xdr:rowOff>85725</xdr:rowOff>
              </to>
            </anchor>
          </objectPr>
        </oleObject>
      </mc:Choice>
      <mc:Fallback>
        <oleObject progId="Word.Document.12" shapeId="1132" r:id="rId98"/>
      </mc:Fallback>
    </mc:AlternateContent>
    <mc:AlternateContent xmlns:mc="http://schemas.openxmlformats.org/markup-compatibility/2006">
      <mc:Choice Requires="x14">
        <oleObject progId="Word.Document.12" shapeId="1133" r:id="rId100">
          <objectPr defaultSize="0" autoPict="0" r:id="rId101">
            <anchor moveWithCells="1">
              <from>
                <xdr:col>23</xdr:col>
                <xdr:colOff>142875</xdr:colOff>
                <xdr:row>167</xdr:row>
                <xdr:rowOff>38100</xdr:rowOff>
              </from>
              <to>
                <xdr:col>41</xdr:col>
                <xdr:colOff>114300</xdr:colOff>
                <xdr:row>168</xdr:row>
                <xdr:rowOff>114300</xdr:rowOff>
              </to>
            </anchor>
          </objectPr>
        </oleObject>
      </mc:Choice>
      <mc:Fallback>
        <oleObject progId="Word.Document.12" shapeId="1133" r:id="rId100"/>
      </mc:Fallback>
    </mc:AlternateContent>
    <mc:AlternateContent xmlns:mc="http://schemas.openxmlformats.org/markup-compatibility/2006">
      <mc:Choice Requires="x14">
        <oleObject progId="Word.Document.12" shapeId="1134" r:id="rId102">
          <objectPr defaultSize="0" r:id="rId103">
            <anchor moveWithCells="1">
              <from>
                <xdr:col>29</xdr:col>
                <xdr:colOff>133350</xdr:colOff>
                <xdr:row>168</xdr:row>
                <xdr:rowOff>219075</xdr:rowOff>
              </from>
              <to>
                <xdr:col>42</xdr:col>
                <xdr:colOff>38100</xdr:colOff>
                <xdr:row>170</xdr:row>
                <xdr:rowOff>238125</xdr:rowOff>
              </to>
            </anchor>
          </objectPr>
        </oleObject>
      </mc:Choice>
      <mc:Fallback>
        <oleObject progId="Word.Document.12" shapeId="1134" r:id="rId102"/>
      </mc:Fallback>
    </mc:AlternateContent>
    <mc:AlternateContent xmlns:mc="http://schemas.openxmlformats.org/markup-compatibility/2006">
      <mc:Choice Requires="x14">
        <oleObject progId="Word.Document.12" shapeId="1135" r:id="rId104">
          <objectPr defaultSize="0" autoPict="0" r:id="rId105">
            <anchor moveWithCells="1">
              <from>
                <xdr:col>20</xdr:col>
                <xdr:colOff>142875</xdr:colOff>
                <xdr:row>169</xdr:row>
                <xdr:rowOff>66675</xdr:rowOff>
              </from>
              <to>
                <xdr:col>24</xdr:col>
                <xdr:colOff>114300</xdr:colOff>
                <xdr:row>170</xdr:row>
                <xdr:rowOff>114300</xdr:rowOff>
              </to>
            </anchor>
          </objectPr>
        </oleObject>
      </mc:Choice>
      <mc:Fallback>
        <oleObject progId="Word.Document.12" shapeId="1135" r:id="rId104"/>
      </mc:Fallback>
    </mc:AlternateContent>
    <mc:AlternateContent xmlns:mc="http://schemas.openxmlformats.org/markup-compatibility/2006">
      <mc:Choice Requires="x14">
        <oleObject progId="Word.Document.12" shapeId="1136" r:id="rId106">
          <objectPr defaultSize="0" r:id="rId99">
            <anchor moveWithCells="1">
              <from>
                <xdr:col>32</xdr:col>
                <xdr:colOff>76200</xdr:colOff>
                <xdr:row>171</xdr:row>
                <xdr:rowOff>47625</xdr:rowOff>
              </from>
              <to>
                <xdr:col>34</xdr:col>
                <xdr:colOff>9525</xdr:colOff>
                <xdr:row>172</xdr:row>
                <xdr:rowOff>95250</xdr:rowOff>
              </to>
            </anchor>
          </objectPr>
        </oleObject>
      </mc:Choice>
      <mc:Fallback>
        <oleObject progId="Word.Document.12" shapeId="1136" r:id="rId106"/>
      </mc:Fallback>
    </mc:AlternateContent>
    <mc:AlternateContent xmlns:mc="http://schemas.openxmlformats.org/markup-compatibility/2006">
      <mc:Choice Requires="x14">
        <oleObject progId="Word.Document.12" shapeId="1137" r:id="rId107">
          <objectPr defaultSize="0" r:id="rId108">
            <anchor moveWithCells="1">
              <from>
                <xdr:col>31</xdr:col>
                <xdr:colOff>95250</xdr:colOff>
                <xdr:row>174</xdr:row>
                <xdr:rowOff>85725</xdr:rowOff>
              </from>
              <to>
                <xdr:col>41</xdr:col>
                <xdr:colOff>133350</xdr:colOff>
                <xdr:row>175</xdr:row>
                <xdr:rowOff>152400</xdr:rowOff>
              </to>
            </anchor>
          </objectPr>
        </oleObject>
      </mc:Choice>
      <mc:Fallback>
        <oleObject progId="Word.Document.12" shapeId="1137" r:id="rId107"/>
      </mc:Fallback>
    </mc:AlternateContent>
    <mc:AlternateContent xmlns:mc="http://schemas.openxmlformats.org/markup-compatibility/2006">
      <mc:Choice Requires="x14">
        <oleObject progId="Word.Document.12" shapeId="1138" r:id="rId109">
          <objectPr defaultSize="0" autoPict="0" r:id="rId110">
            <anchor moveWithCells="1">
              <from>
                <xdr:col>29</xdr:col>
                <xdr:colOff>76200</xdr:colOff>
                <xdr:row>176</xdr:row>
                <xdr:rowOff>76200</xdr:rowOff>
              </from>
              <to>
                <xdr:col>41</xdr:col>
                <xdr:colOff>28575</xdr:colOff>
                <xdr:row>177</xdr:row>
                <xdr:rowOff>142875</xdr:rowOff>
              </to>
            </anchor>
          </objectPr>
        </oleObject>
      </mc:Choice>
      <mc:Fallback>
        <oleObject progId="Word.Document.12" shapeId="1138" r:id="rId109"/>
      </mc:Fallback>
    </mc:AlternateContent>
    <mc:AlternateContent xmlns:mc="http://schemas.openxmlformats.org/markup-compatibility/2006">
      <mc:Choice Requires="x14">
        <oleObject progId="Word.Document.12" shapeId="1139" r:id="rId111">
          <objectPr defaultSize="0" autoPict="0" r:id="rId112">
            <anchor moveWithCells="1">
              <from>
                <xdr:col>39</xdr:col>
                <xdr:colOff>9525</xdr:colOff>
                <xdr:row>178</xdr:row>
                <xdr:rowOff>76200</xdr:rowOff>
              </from>
              <to>
                <xdr:col>41</xdr:col>
                <xdr:colOff>95250</xdr:colOff>
                <xdr:row>179</xdr:row>
                <xdr:rowOff>142875</xdr:rowOff>
              </to>
            </anchor>
          </objectPr>
        </oleObject>
      </mc:Choice>
      <mc:Fallback>
        <oleObject progId="Word.Document.12" shapeId="1139" r:id="rId111"/>
      </mc:Fallback>
    </mc:AlternateContent>
    <mc:AlternateContent xmlns:mc="http://schemas.openxmlformats.org/markup-compatibility/2006">
      <mc:Choice Requires="x14">
        <oleObject progId="Word.Document.12" shapeId="1140" r:id="rId113">
          <objectPr defaultSize="0" r:id="rId114">
            <anchor moveWithCells="1">
              <from>
                <xdr:col>29</xdr:col>
                <xdr:colOff>123825</xdr:colOff>
                <xdr:row>178</xdr:row>
                <xdr:rowOff>66675</xdr:rowOff>
              </from>
              <to>
                <xdr:col>33</xdr:col>
                <xdr:colOff>133350</xdr:colOff>
                <xdr:row>179</xdr:row>
                <xdr:rowOff>114300</xdr:rowOff>
              </to>
            </anchor>
          </objectPr>
        </oleObject>
      </mc:Choice>
      <mc:Fallback>
        <oleObject progId="Word.Document.12" shapeId="1140" r:id="rId113"/>
      </mc:Fallback>
    </mc:AlternateContent>
    <mc:AlternateContent xmlns:mc="http://schemas.openxmlformats.org/markup-compatibility/2006">
      <mc:Choice Requires="x14">
        <oleObject progId="Word.Document.12" shapeId="1141" r:id="rId115">
          <objectPr defaultSize="0" r:id="rId116">
            <anchor moveWithCells="1">
              <from>
                <xdr:col>32</xdr:col>
                <xdr:colOff>85725</xdr:colOff>
                <xdr:row>180</xdr:row>
                <xdr:rowOff>38100</xdr:rowOff>
              </from>
              <to>
                <xdr:col>34</xdr:col>
                <xdr:colOff>19050</xdr:colOff>
                <xdr:row>181</xdr:row>
                <xdr:rowOff>85725</xdr:rowOff>
              </to>
            </anchor>
          </objectPr>
        </oleObject>
      </mc:Choice>
      <mc:Fallback>
        <oleObject progId="Word.Document.12" shapeId="1141" r:id="rId115"/>
      </mc:Fallback>
    </mc:AlternateContent>
    <mc:AlternateContent xmlns:mc="http://schemas.openxmlformats.org/markup-compatibility/2006">
      <mc:Choice Requires="x14">
        <oleObject progId="Word.Document.12" shapeId="1142" r:id="rId117">
          <objectPr defaultSize="0" r:id="rId118">
            <anchor moveWithCells="1">
              <from>
                <xdr:col>32</xdr:col>
                <xdr:colOff>133350</xdr:colOff>
                <xdr:row>184</xdr:row>
                <xdr:rowOff>76200</xdr:rowOff>
              </from>
              <to>
                <xdr:col>41</xdr:col>
                <xdr:colOff>85725</xdr:colOff>
                <xdr:row>185</xdr:row>
                <xdr:rowOff>123825</xdr:rowOff>
              </to>
            </anchor>
          </objectPr>
        </oleObject>
      </mc:Choice>
      <mc:Fallback>
        <oleObject progId="Word.Document.12" shapeId="1142" r:id="rId117"/>
      </mc:Fallback>
    </mc:AlternateContent>
    <mc:AlternateContent xmlns:mc="http://schemas.openxmlformats.org/markup-compatibility/2006">
      <mc:Choice Requires="x14">
        <oleObject progId="Word.Document.12" shapeId="1143" r:id="rId119">
          <objectPr defaultSize="0" r:id="rId120">
            <anchor moveWithCells="1">
              <from>
                <xdr:col>14</xdr:col>
                <xdr:colOff>76200</xdr:colOff>
                <xdr:row>185</xdr:row>
                <xdr:rowOff>133350</xdr:rowOff>
              </from>
              <to>
                <xdr:col>39</xdr:col>
                <xdr:colOff>19050</xdr:colOff>
                <xdr:row>188</xdr:row>
                <xdr:rowOff>47625</xdr:rowOff>
              </to>
            </anchor>
          </objectPr>
        </oleObject>
      </mc:Choice>
      <mc:Fallback>
        <oleObject progId="Word.Document.12" shapeId="1143" r:id="rId119"/>
      </mc:Fallback>
    </mc:AlternateContent>
    <mc:AlternateContent xmlns:mc="http://schemas.openxmlformats.org/markup-compatibility/2006">
      <mc:Choice Requires="x14">
        <oleObject progId="Word.Document.12" shapeId="1144" r:id="rId121">
          <objectPr defaultSize="0" autoPict="0" r:id="rId122">
            <anchor moveWithCells="1">
              <from>
                <xdr:col>36</xdr:col>
                <xdr:colOff>142875</xdr:colOff>
                <xdr:row>188</xdr:row>
                <xdr:rowOff>76200</xdr:rowOff>
              </from>
              <to>
                <xdr:col>39</xdr:col>
                <xdr:colOff>76200</xdr:colOff>
                <xdr:row>189</xdr:row>
                <xdr:rowOff>142875</xdr:rowOff>
              </to>
            </anchor>
          </objectPr>
        </oleObject>
      </mc:Choice>
      <mc:Fallback>
        <oleObject progId="Word.Document.12" shapeId="1144" r:id="rId121"/>
      </mc:Fallback>
    </mc:AlternateContent>
    <mc:AlternateContent xmlns:mc="http://schemas.openxmlformats.org/markup-compatibility/2006">
      <mc:Choice Requires="x14">
        <oleObject progId="Word.Document.12" shapeId="1145" r:id="rId123">
          <objectPr defaultSize="0" autoPict="0" r:id="rId124">
            <anchor moveWithCells="1">
              <from>
                <xdr:col>28</xdr:col>
                <xdr:colOff>9525</xdr:colOff>
                <xdr:row>188</xdr:row>
                <xdr:rowOff>66675</xdr:rowOff>
              </from>
              <to>
                <xdr:col>31</xdr:col>
                <xdr:colOff>123825</xdr:colOff>
                <xdr:row>189</xdr:row>
                <xdr:rowOff>209550</xdr:rowOff>
              </to>
            </anchor>
          </objectPr>
        </oleObject>
      </mc:Choice>
      <mc:Fallback>
        <oleObject progId="Word.Document.12" shapeId="1145" r:id="rId123"/>
      </mc:Fallback>
    </mc:AlternateContent>
    <mc:AlternateContent xmlns:mc="http://schemas.openxmlformats.org/markup-compatibility/2006">
      <mc:Choice Requires="x14">
        <oleObject progId="Word.Document.12" shapeId="1147" r:id="rId125">
          <objectPr defaultSize="0" r:id="rId126">
            <anchor moveWithCells="1">
              <from>
                <xdr:col>22</xdr:col>
                <xdr:colOff>85725</xdr:colOff>
                <xdr:row>194</xdr:row>
                <xdr:rowOff>28575</xdr:rowOff>
              </from>
              <to>
                <xdr:col>40</xdr:col>
                <xdr:colOff>142875</xdr:colOff>
                <xdr:row>195</xdr:row>
                <xdr:rowOff>171450</xdr:rowOff>
              </to>
            </anchor>
          </objectPr>
        </oleObject>
      </mc:Choice>
      <mc:Fallback>
        <oleObject progId="Word.Document.12" shapeId="1147" r:id="rId125"/>
      </mc:Fallback>
    </mc:AlternateContent>
    <mc:AlternateContent xmlns:mc="http://schemas.openxmlformats.org/markup-compatibility/2006">
      <mc:Choice Requires="x14">
        <oleObject progId="Word.Document.12" shapeId="1148" r:id="rId127">
          <objectPr defaultSize="0" autoPict="0" r:id="rId128">
            <anchor moveWithCells="1">
              <from>
                <xdr:col>27</xdr:col>
                <xdr:colOff>104775</xdr:colOff>
                <xdr:row>197</xdr:row>
                <xdr:rowOff>200025</xdr:rowOff>
              </from>
              <to>
                <xdr:col>41</xdr:col>
                <xdr:colOff>76200</xdr:colOff>
                <xdr:row>199</xdr:row>
                <xdr:rowOff>180975</xdr:rowOff>
              </to>
            </anchor>
          </objectPr>
        </oleObject>
      </mc:Choice>
      <mc:Fallback>
        <oleObject progId="Word.Document.12" shapeId="1148" r:id="rId127"/>
      </mc:Fallback>
    </mc:AlternateContent>
    <mc:AlternateContent xmlns:mc="http://schemas.openxmlformats.org/markup-compatibility/2006">
      <mc:Choice Requires="x14">
        <oleObject progId="Word.Document.12" shapeId="1149" r:id="rId129">
          <objectPr defaultSize="0" r:id="rId130">
            <anchor moveWithCells="1">
              <from>
                <xdr:col>31</xdr:col>
                <xdr:colOff>114300</xdr:colOff>
                <xdr:row>199</xdr:row>
                <xdr:rowOff>219075</xdr:rowOff>
              </from>
              <to>
                <xdr:col>41</xdr:col>
                <xdr:colOff>0</xdr:colOff>
                <xdr:row>201</xdr:row>
                <xdr:rowOff>190500</xdr:rowOff>
              </to>
            </anchor>
          </objectPr>
        </oleObject>
      </mc:Choice>
      <mc:Fallback>
        <oleObject progId="Word.Document.12" shapeId="1149" r:id="rId129"/>
      </mc:Fallback>
    </mc:AlternateContent>
    <mc:AlternateContent xmlns:mc="http://schemas.openxmlformats.org/markup-compatibility/2006">
      <mc:Choice Requires="x14">
        <oleObject progId="Word.Document.12" shapeId="1150" r:id="rId131">
          <objectPr defaultSize="0" r:id="rId132">
            <anchor moveWithCells="1">
              <from>
                <xdr:col>25</xdr:col>
                <xdr:colOff>28575</xdr:colOff>
                <xdr:row>201</xdr:row>
                <xdr:rowOff>228600</xdr:rowOff>
              </from>
              <to>
                <xdr:col>41</xdr:col>
                <xdr:colOff>19050</xdr:colOff>
                <xdr:row>204</xdr:row>
                <xdr:rowOff>38100</xdr:rowOff>
              </to>
            </anchor>
          </objectPr>
        </oleObject>
      </mc:Choice>
      <mc:Fallback>
        <oleObject progId="Word.Document.12" shapeId="1150" r:id="rId131"/>
      </mc:Fallback>
    </mc:AlternateContent>
    <mc:AlternateContent xmlns:mc="http://schemas.openxmlformats.org/markup-compatibility/2006">
      <mc:Choice Requires="x14">
        <oleObject progId="Word.Document.12" shapeId="1151" r:id="rId133">
          <objectPr defaultSize="0" r:id="rId134">
            <anchor moveWithCells="1">
              <from>
                <xdr:col>15</xdr:col>
                <xdr:colOff>104775</xdr:colOff>
                <xdr:row>207</xdr:row>
                <xdr:rowOff>228600</xdr:rowOff>
              </from>
              <to>
                <xdr:col>41</xdr:col>
                <xdr:colOff>57150</xdr:colOff>
                <xdr:row>210</xdr:row>
                <xdr:rowOff>19050</xdr:rowOff>
              </to>
            </anchor>
          </objectPr>
        </oleObject>
      </mc:Choice>
      <mc:Fallback>
        <oleObject progId="Word.Document.12" shapeId="1151" r:id="rId133"/>
      </mc:Fallback>
    </mc:AlternateContent>
    <mc:AlternateContent xmlns:mc="http://schemas.openxmlformats.org/markup-compatibility/2006">
      <mc:Choice Requires="x14">
        <oleObject progId="Word.Document.12" shapeId="1152" r:id="rId135">
          <objectPr defaultSize="0" r:id="rId136">
            <anchor moveWithCells="1">
              <from>
                <xdr:col>38</xdr:col>
                <xdr:colOff>57150</xdr:colOff>
                <xdr:row>204</xdr:row>
                <xdr:rowOff>47625</xdr:rowOff>
              </from>
              <to>
                <xdr:col>41</xdr:col>
                <xdr:colOff>9525</xdr:colOff>
                <xdr:row>205</xdr:row>
                <xdr:rowOff>95250</xdr:rowOff>
              </to>
            </anchor>
          </objectPr>
        </oleObject>
      </mc:Choice>
      <mc:Fallback>
        <oleObject progId="Word.Document.12" shapeId="1152" r:id="rId135"/>
      </mc:Fallback>
    </mc:AlternateContent>
    <mc:AlternateContent xmlns:mc="http://schemas.openxmlformats.org/markup-compatibility/2006">
      <mc:Choice Requires="x14">
        <oleObject progId="Word.Document.12" shapeId="1153" r:id="rId137">
          <objectPr defaultSize="0" r:id="rId138">
            <anchor moveWithCells="1">
              <from>
                <xdr:col>32</xdr:col>
                <xdr:colOff>28575</xdr:colOff>
                <xdr:row>206</xdr:row>
                <xdr:rowOff>38100</xdr:rowOff>
              </from>
              <to>
                <xdr:col>40</xdr:col>
                <xdr:colOff>95250</xdr:colOff>
                <xdr:row>207</xdr:row>
                <xdr:rowOff>104775</xdr:rowOff>
              </to>
            </anchor>
          </objectPr>
        </oleObject>
      </mc:Choice>
      <mc:Fallback>
        <oleObject progId="Word.Document.12" shapeId="1153" r:id="rId137"/>
      </mc:Fallback>
    </mc:AlternateContent>
    <mc:AlternateContent xmlns:mc="http://schemas.openxmlformats.org/markup-compatibility/2006">
      <mc:Choice Requires="x14">
        <oleObject progId="Word.Document.12" shapeId="1154" r:id="rId139">
          <objectPr defaultSize="0" autoPict="0" r:id="rId140">
            <anchor moveWithCells="1">
              <from>
                <xdr:col>38</xdr:col>
                <xdr:colOff>123825</xdr:colOff>
                <xdr:row>210</xdr:row>
                <xdr:rowOff>47625</xdr:rowOff>
              </from>
              <to>
                <xdr:col>41</xdr:col>
                <xdr:colOff>19050</xdr:colOff>
                <xdr:row>211</xdr:row>
                <xdr:rowOff>95250</xdr:rowOff>
              </to>
            </anchor>
          </objectPr>
        </oleObject>
      </mc:Choice>
      <mc:Fallback>
        <oleObject progId="Word.Document.12" shapeId="1154" r:id="rId139"/>
      </mc:Fallback>
    </mc:AlternateContent>
    <mc:AlternateContent xmlns:mc="http://schemas.openxmlformats.org/markup-compatibility/2006">
      <mc:Choice Requires="x14">
        <oleObject progId="Word.Document.12" shapeId="1155" r:id="rId141">
          <objectPr defaultSize="0" autoPict="0" r:id="rId142">
            <anchor moveWithCells="1">
              <from>
                <xdr:col>39</xdr:col>
                <xdr:colOff>57150</xdr:colOff>
                <xdr:row>211</xdr:row>
                <xdr:rowOff>228600</xdr:rowOff>
              </from>
              <to>
                <xdr:col>42</xdr:col>
                <xdr:colOff>9525</xdr:colOff>
                <xdr:row>213</xdr:row>
                <xdr:rowOff>228600</xdr:rowOff>
              </to>
            </anchor>
          </objectPr>
        </oleObject>
      </mc:Choice>
      <mc:Fallback>
        <oleObject progId="Word.Document.12" shapeId="1155" r:id="rId141"/>
      </mc:Fallback>
    </mc:AlternateContent>
    <mc:AlternateContent xmlns:mc="http://schemas.openxmlformats.org/markup-compatibility/2006">
      <mc:Choice Requires="x14">
        <oleObject progId="Word.Document.12" shapeId="1156" r:id="rId143">
          <objectPr defaultSize="0" r:id="rId144">
            <anchor moveWithCells="1">
              <from>
                <xdr:col>30</xdr:col>
                <xdr:colOff>114300</xdr:colOff>
                <xdr:row>211</xdr:row>
                <xdr:rowOff>142875</xdr:rowOff>
              </from>
              <to>
                <xdr:col>36</xdr:col>
                <xdr:colOff>114300</xdr:colOff>
                <xdr:row>214</xdr:row>
                <xdr:rowOff>57150</xdr:rowOff>
              </to>
            </anchor>
          </objectPr>
        </oleObject>
      </mc:Choice>
      <mc:Fallback>
        <oleObject progId="Word.Document.12" shapeId="1156" r:id="rId143"/>
      </mc:Fallback>
    </mc:AlternateContent>
    <mc:AlternateContent xmlns:mc="http://schemas.openxmlformats.org/markup-compatibility/2006">
      <mc:Choice Requires="x14">
        <oleObject progId="Word.Document.12" shapeId="1157" r:id="rId145">
          <objectPr defaultSize="0" r:id="rId146">
            <anchor moveWithCells="1">
              <from>
                <xdr:col>25</xdr:col>
                <xdr:colOff>133350</xdr:colOff>
                <xdr:row>212</xdr:row>
                <xdr:rowOff>47625</xdr:rowOff>
              </from>
              <to>
                <xdr:col>27</xdr:col>
                <xdr:colOff>47625</xdr:colOff>
                <xdr:row>213</xdr:row>
                <xdr:rowOff>95250</xdr:rowOff>
              </to>
            </anchor>
          </objectPr>
        </oleObject>
      </mc:Choice>
      <mc:Fallback>
        <oleObject progId="Word.Document.12" shapeId="1157" r:id="rId145"/>
      </mc:Fallback>
    </mc:AlternateContent>
    <mc:AlternateContent xmlns:mc="http://schemas.openxmlformats.org/markup-compatibility/2006">
      <mc:Choice Requires="x14">
        <oleObject progId="Word.Document.12" shapeId="1160" r:id="rId147">
          <objectPr defaultSize="0" r:id="rId146">
            <anchor moveWithCells="1">
              <from>
                <xdr:col>25</xdr:col>
                <xdr:colOff>133350</xdr:colOff>
                <xdr:row>210</xdr:row>
                <xdr:rowOff>47625</xdr:rowOff>
              </from>
              <to>
                <xdr:col>27</xdr:col>
                <xdr:colOff>47625</xdr:colOff>
                <xdr:row>211</xdr:row>
                <xdr:rowOff>95250</xdr:rowOff>
              </to>
            </anchor>
          </objectPr>
        </oleObject>
      </mc:Choice>
      <mc:Fallback>
        <oleObject progId="Word.Document.12" shapeId="1160" r:id="rId147"/>
      </mc:Fallback>
    </mc:AlternateContent>
    <mc:AlternateContent xmlns:mc="http://schemas.openxmlformats.org/markup-compatibility/2006">
      <mc:Choice Requires="x14">
        <oleObject progId="Word.Document.12" shapeId="1162" r:id="rId148">
          <objectPr defaultSize="0" r:id="rId149">
            <anchor moveWithCells="1">
              <from>
                <xdr:col>5</xdr:col>
                <xdr:colOff>9525</xdr:colOff>
                <xdr:row>228</xdr:row>
                <xdr:rowOff>190500</xdr:rowOff>
              </from>
              <to>
                <xdr:col>39</xdr:col>
                <xdr:colOff>0</xdr:colOff>
                <xdr:row>231</xdr:row>
                <xdr:rowOff>0</xdr:rowOff>
              </to>
            </anchor>
          </objectPr>
        </oleObject>
      </mc:Choice>
      <mc:Fallback>
        <oleObject progId="Word.Document.12" shapeId="1162" r:id="rId148"/>
      </mc:Fallback>
    </mc:AlternateContent>
    <mc:AlternateContent xmlns:mc="http://schemas.openxmlformats.org/markup-compatibility/2006">
      <mc:Choice Requires="x14">
        <oleObject progId="Word.Document.12" shapeId="1163" r:id="rId150">
          <objectPr defaultSize="0" autoPict="0" r:id="rId151">
            <anchor moveWithCells="1">
              <from>
                <xdr:col>34</xdr:col>
                <xdr:colOff>104775</xdr:colOff>
                <xdr:row>221</xdr:row>
                <xdr:rowOff>76200</xdr:rowOff>
              </from>
              <to>
                <xdr:col>41</xdr:col>
                <xdr:colOff>114300</xdr:colOff>
                <xdr:row>222</xdr:row>
                <xdr:rowOff>171450</xdr:rowOff>
              </to>
            </anchor>
          </objectPr>
        </oleObject>
      </mc:Choice>
      <mc:Fallback>
        <oleObject progId="Word.Document.12" shapeId="1163" r:id="rId150"/>
      </mc:Fallback>
    </mc:AlternateContent>
    <mc:AlternateContent xmlns:mc="http://schemas.openxmlformats.org/markup-compatibility/2006">
      <mc:Choice Requires="x14">
        <oleObject progId="Word.Document.12" shapeId="1164" r:id="rId152">
          <objectPr defaultSize="0" autoPict="0" r:id="rId153">
            <anchor moveWithCells="1">
              <from>
                <xdr:col>18</xdr:col>
                <xdr:colOff>28575</xdr:colOff>
                <xdr:row>220</xdr:row>
                <xdr:rowOff>238125</xdr:rowOff>
              </from>
              <to>
                <xdr:col>28</xdr:col>
                <xdr:colOff>0</xdr:colOff>
                <xdr:row>222</xdr:row>
                <xdr:rowOff>133350</xdr:rowOff>
              </to>
            </anchor>
          </objectPr>
        </oleObject>
      </mc:Choice>
      <mc:Fallback>
        <oleObject progId="Word.Document.12" shapeId="1164" r:id="rId152"/>
      </mc:Fallback>
    </mc:AlternateContent>
    <mc:AlternateContent xmlns:mc="http://schemas.openxmlformats.org/markup-compatibility/2006">
      <mc:Choice Requires="x14">
        <oleObject progId="Word.Document.12" shapeId="1165" r:id="rId154">
          <objectPr defaultSize="0" autoPict="0" r:id="rId155">
            <anchor moveWithCells="1">
              <from>
                <xdr:col>18</xdr:col>
                <xdr:colOff>85725</xdr:colOff>
                <xdr:row>222</xdr:row>
                <xdr:rowOff>219075</xdr:rowOff>
              </from>
              <to>
                <xdr:col>29</xdr:col>
                <xdr:colOff>66675</xdr:colOff>
                <xdr:row>224</xdr:row>
                <xdr:rowOff>190500</xdr:rowOff>
              </to>
            </anchor>
          </objectPr>
        </oleObject>
      </mc:Choice>
      <mc:Fallback>
        <oleObject progId="Word.Document.12" shapeId="1165" r:id="rId154"/>
      </mc:Fallback>
    </mc:AlternateContent>
    <mc:AlternateContent xmlns:mc="http://schemas.openxmlformats.org/markup-compatibility/2006">
      <mc:Choice Requires="x14">
        <oleObject progId="Word.Document.12" shapeId="1167" r:id="rId156">
          <objectPr defaultSize="0" r:id="rId157">
            <anchor moveWithCells="1">
              <from>
                <xdr:col>8</xdr:col>
                <xdr:colOff>66675</xdr:colOff>
                <xdr:row>223</xdr:row>
                <xdr:rowOff>47625</xdr:rowOff>
              </from>
              <to>
                <xdr:col>10</xdr:col>
                <xdr:colOff>104775</xdr:colOff>
                <xdr:row>224</xdr:row>
                <xdr:rowOff>95250</xdr:rowOff>
              </to>
            </anchor>
          </objectPr>
        </oleObject>
      </mc:Choice>
      <mc:Fallback>
        <oleObject progId="Word.Document.12" shapeId="1167" r:id="rId156"/>
      </mc:Fallback>
    </mc:AlternateContent>
    <mc:AlternateContent xmlns:mc="http://schemas.openxmlformats.org/markup-compatibility/2006">
      <mc:Choice Requires="x14">
        <oleObject progId="Word.Document.12" shapeId="1168" r:id="rId158">
          <objectPr defaultSize="0" autoPict="0" r:id="rId159">
            <anchor moveWithCells="1">
              <from>
                <xdr:col>4</xdr:col>
                <xdr:colOff>0</xdr:colOff>
                <xdr:row>216</xdr:row>
                <xdr:rowOff>238125</xdr:rowOff>
              </from>
              <to>
                <xdr:col>42</xdr:col>
                <xdr:colOff>0</xdr:colOff>
                <xdr:row>218</xdr:row>
                <xdr:rowOff>180975</xdr:rowOff>
              </to>
            </anchor>
          </objectPr>
        </oleObject>
      </mc:Choice>
      <mc:Fallback>
        <oleObject progId="Word.Document.12" shapeId="1168" r:id="rId158"/>
      </mc:Fallback>
    </mc:AlternateContent>
    <mc:AlternateContent xmlns:mc="http://schemas.openxmlformats.org/markup-compatibility/2006">
      <mc:Choice Requires="x14">
        <oleObject progId="Word.Document.12" shapeId="1169" r:id="rId160">
          <objectPr defaultSize="0" autoPict="0" r:id="rId161">
            <anchor moveWithCells="1">
              <from>
                <xdr:col>7</xdr:col>
                <xdr:colOff>85725</xdr:colOff>
                <xdr:row>218</xdr:row>
                <xdr:rowOff>190500</xdr:rowOff>
              </from>
              <to>
                <xdr:col>38</xdr:col>
                <xdr:colOff>28575</xdr:colOff>
                <xdr:row>221</xdr:row>
                <xdr:rowOff>0</xdr:rowOff>
              </to>
            </anchor>
          </objectPr>
        </oleObject>
      </mc:Choice>
      <mc:Fallback>
        <oleObject progId="Word.Document.12" shapeId="1169" r:id="rId160"/>
      </mc:Fallback>
    </mc:AlternateContent>
    <mc:AlternateContent xmlns:mc="http://schemas.openxmlformats.org/markup-compatibility/2006">
      <mc:Choice Requires="x14">
        <oleObject progId="Word.Document.12" shapeId="1170" r:id="rId162">
          <objectPr defaultSize="0" autoPict="0" r:id="rId163">
            <anchor moveWithCells="1">
              <from>
                <xdr:col>34</xdr:col>
                <xdr:colOff>95250</xdr:colOff>
                <xdr:row>232</xdr:row>
                <xdr:rowOff>57150</xdr:rowOff>
              </from>
              <to>
                <xdr:col>41</xdr:col>
                <xdr:colOff>66675</xdr:colOff>
                <xdr:row>233</xdr:row>
                <xdr:rowOff>200025</xdr:rowOff>
              </to>
            </anchor>
          </objectPr>
        </oleObject>
      </mc:Choice>
      <mc:Fallback>
        <oleObject progId="Word.Document.12" shapeId="1170" r:id="rId162"/>
      </mc:Fallback>
    </mc:AlternateContent>
    <mc:AlternateContent xmlns:mc="http://schemas.openxmlformats.org/markup-compatibility/2006">
      <mc:Choice Requires="x14">
        <oleObject progId="Word.Document.12" shapeId="1171" r:id="rId164">
          <objectPr defaultSize="0" r:id="rId165">
            <anchor moveWithCells="1">
              <from>
                <xdr:col>18</xdr:col>
                <xdr:colOff>85725</xdr:colOff>
                <xdr:row>231</xdr:row>
                <xdr:rowOff>209550</xdr:rowOff>
              </from>
              <to>
                <xdr:col>28</xdr:col>
                <xdr:colOff>85725</xdr:colOff>
                <xdr:row>233</xdr:row>
                <xdr:rowOff>142875</xdr:rowOff>
              </to>
            </anchor>
          </objectPr>
        </oleObject>
      </mc:Choice>
      <mc:Fallback>
        <oleObject progId="Word.Document.12" shapeId="1171" r:id="rId164"/>
      </mc:Fallback>
    </mc:AlternateContent>
    <mc:AlternateContent xmlns:mc="http://schemas.openxmlformats.org/markup-compatibility/2006">
      <mc:Choice Requires="x14">
        <oleObject progId="Word.Document.12" shapeId="1173" r:id="rId166">
          <objectPr defaultSize="0" r:id="rId167">
            <anchor moveWithCells="1">
              <from>
                <xdr:col>8</xdr:col>
                <xdr:colOff>47625</xdr:colOff>
                <xdr:row>234</xdr:row>
                <xdr:rowOff>47625</xdr:rowOff>
              </from>
              <to>
                <xdr:col>10</xdr:col>
                <xdr:colOff>104775</xdr:colOff>
                <xdr:row>235</xdr:row>
                <xdr:rowOff>95250</xdr:rowOff>
              </to>
            </anchor>
          </objectPr>
        </oleObject>
      </mc:Choice>
      <mc:Fallback>
        <oleObject progId="Word.Document.12" shapeId="1173" r:id="rId166"/>
      </mc:Fallback>
    </mc:AlternateContent>
    <mc:AlternateContent xmlns:mc="http://schemas.openxmlformats.org/markup-compatibility/2006">
      <mc:Choice Requires="x14">
        <oleObject progId="Word.Document.12" shapeId="1174" r:id="rId168">
          <objectPr defaultSize="0" autoPict="0" r:id="rId169">
            <anchor moveWithCells="1">
              <from>
                <xdr:col>33</xdr:col>
                <xdr:colOff>123825</xdr:colOff>
                <xdr:row>242</xdr:row>
                <xdr:rowOff>238125</xdr:rowOff>
              </from>
              <to>
                <xdr:col>42</xdr:col>
                <xdr:colOff>133350</xdr:colOff>
                <xdr:row>245</xdr:row>
                <xdr:rowOff>47625</xdr:rowOff>
              </to>
            </anchor>
          </objectPr>
        </oleObject>
      </mc:Choice>
      <mc:Fallback>
        <oleObject progId="Word.Document.12" shapeId="1174" r:id="rId168"/>
      </mc:Fallback>
    </mc:AlternateContent>
    <mc:AlternateContent xmlns:mc="http://schemas.openxmlformats.org/markup-compatibility/2006">
      <mc:Choice Requires="x14">
        <oleObject progId="Word.Document.12" shapeId="1175" r:id="rId170">
          <objectPr defaultSize="0" autoPict="0" r:id="rId171">
            <anchor moveWithCells="1">
              <from>
                <xdr:col>33</xdr:col>
                <xdr:colOff>0</xdr:colOff>
                <xdr:row>245</xdr:row>
                <xdr:rowOff>190500</xdr:rowOff>
              </from>
              <to>
                <xdr:col>43</xdr:col>
                <xdr:colOff>76200</xdr:colOff>
                <xdr:row>247</xdr:row>
                <xdr:rowOff>142875</xdr:rowOff>
              </to>
            </anchor>
          </objectPr>
        </oleObject>
      </mc:Choice>
      <mc:Fallback>
        <oleObject progId="Word.Document.12" shapeId="1175" r:id="rId170"/>
      </mc:Fallback>
    </mc:AlternateContent>
    <mc:AlternateContent xmlns:mc="http://schemas.openxmlformats.org/markup-compatibility/2006">
      <mc:Choice Requires="x14">
        <oleObject progId="Word.Document.12" shapeId="1176" r:id="rId172">
          <objectPr defaultSize="0" r:id="rId173">
            <anchor moveWithCells="1">
              <from>
                <xdr:col>24</xdr:col>
                <xdr:colOff>0</xdr:colOff>
                <xdr:row>237</xdr:row>
                <xdr:rowOff>171450</xdr:rowOff>
              </from>
              <to>
                <xdr:col>41</xdr:col>
                <xdr:colOff>104775</xdr:colOff>
                <xdr:row>240</xdr:row>
                <xdr:rowOff>133350</xdr:rowOff>
              </to>
            </anchor>
          </objectPr>
        </oleObject>
      </mc:Choice>
      <mc:Fallback>
        <oleObject progId="Word.Document.12" shapeId="1176" r:id="rId172"/>
      </mc:Fallback>
    </mc:AlternateContent>
    <mc:AlternateContent xmlns:mc="http://schemas.openxmlformats.org/markup-compatibility/2006">
      <mc:Choice Requires="x14">
        <oleObject progId="Word.Document.12" shapeId="1177" r:id="rId174">
          <objectPr defaultSize="0" autoPict="0" r:id="rId175">
            <anchor moveWithCells="1">
              <from>
                <xdr:col>34</xdr:col>
                <xdr:colOff>95250</xdr:colOff>
                <xdr:row>241</xdr:row>
                <xdr:rowOff>38100</xdr:rowOff>
              </from>
              <to>
                <xdr:col>43</xdr:col>
                <xdr:colOff>47625</xdr:colOff>
                <xdr:row>242</xdr:row>
                <xdr:rowOff>104775</xdr:rowOff>
              </to>
            </anchor>
          </objectPr>
        </oleObject>
      </mc:Choice>
      <mc:Fallback>
        <oleObject progId="Word.Document.12" shapeId="1177" r:id="rId174"/>
      </mc:Fallback>
    </mc:AlternateContent>
    <mc:AlternateContent xmlns:mc="http://schemas.openxmlformats.org/markup-compatibility/2006">
      <mc:Choice Requires="x14">
        <oleObject progId="Word.Document.12" shapeId="1179" r:id="rId176">
          <objectPr defaultSize="0" r:id="rId177">
            <anchor moveWithCells="1">
              <from>
                <xdr:col>23</xdr:col>
                <xdr:colOff>95250</xdr:colOff>
                <xdr:row>246</xdr:row>
                <xdr:rowOff>19050</xdr:rowOff>
              </from>
              <to>
                <xdr:col>25</xdr:col>
                <xdr:colOff>76200</xdr:colOff>
                <xdr:row>247</xdr:row>
                <xdr:rowOff>66675</xdr:rowOff>
              </to>
            </anchor>
          </objectPr>
        </oleObject>
      </mc:Choice>
      <mc:Fallback>
        <oleObject progId="Word.Document.12" shapeId="1179" r:id="rId176"/>
      </mc:Fallback>
    </mc:AlternateContent>
    <mc:AlternateContent xmlns:mc="http://schemas.openxmlformats.org/markup-compatibility/2006">
      <mc:Choice Requires="x14">
        <oleObject progId="Word.Document.12" shapeId="1180" r:id="rId178">
          <objectPr defaultSize="0" r:id="rId179">
            <anchor moveWithCells="1">
              <from>
                <xdr:col>19</xdr:col>
                <xdr:colOff>104775</xdr:colOff>
                <xdr:row>246</xdr:row>
                <xdr:rowOff>38100</xdr:rowOff>
              </from>
              <to>
                <xdr:col>21</xdr:col>
                <xdr:colOff>19050</xdr:colOff>
                <xdr:row>247</xdr:row>
                <xdr:rowOff>85725</xdr:rowOff>
              </to>
            </anchor>
          </objectPr>
        </oleObject>
      </mc:Choice>
      <mc:Fallback>
        <oleObject progId="Word.Document.12" shapeId="1180" r:id="rId178"/>
      </mc:Fallback>
    </mc:AlternateContent>
    <mc:AlternateContent xmlns:mc="http://schemas.openxmlformats.org/markup-compatibility/2006">
      <mc:Choice Requires="x14">
        <oleObject progId="Word.Document.12" shapeId="1181" r:id="rId180">
          <objectPr defaultSize="0" autoPict="0" r:id="rId181">
            <anchor moveWithCells="1">
              <from>
                <xdr:col>33</xdr:col>
                <xdr:colOff>104775</xdr:colOff>
                <xdr:row>248</xdr:row>
                <xdr:rowOff>38100</xdr:rowOff>
              </from>
              <to>
                <xdr:col>43</xdr:col>
                <xdr:colOff>28575</xdr:colOff>
                <xdr:row>249</xdr:row>
                <xdr:rowOff>57150</xdr:rowOff>
              </to>
            </anchor>
          </objectPr>
        </oleObject>
      </mc:Choice>
      <mc:Fallback>
        <oleObject progId="Word.Document.12" shapeId="1181" r:id="rId180"/>
      </mc:Fallback>
    </mc:AlternateContent>
    <mc:AlternateContent xmlns:mc="http://schemas.openxmlformats.org/markup-compatibility/2006">
      <mc:Choice Requires="x14">
        <oleObject progId="Word.Document.12" shapeId="1182" r:id="rId182">
          <objectPr defaultSize="0" r:id="rId183">
            <anchor moveWithCells="1">
              <from>
                <xdr:col>28</xdr:col>
                <xdr:colOff>123825</xdr:colOff>
                <xdr:row>249</xdr:row>
                <xdr:rowOff>200025</xdr:rowOff>
              </from>
              <to>
                <xdr:col>42</xdr:col>
                <xdr:colOff>133350</xdr:colOff>
                <xdr:row>252</xdr:row>
                <xdr:rowOff>0</xdr:rowOff>
              </to>
            </anchor>
          </objectPr>
        </oleObject>
      </mc:Choice>
      <mc:Fallback>
        <oleObject progId="Word.Document.12" shapeId="1182" r:id="rId182"/>
      </mc:Fallback>
    </mc:AlternateContent>
    <mc:AlternateContent xmlns:mc="http://schemas.openxmlformats.org/markup-compatibility/2006">
      <mc:Choice Requires="x14">
        <oleObject progId="Word.Document.12" shapeId="1183" r:id="rId184">
          <objectPr defaultSize="0" r:id="rId185">
            <anchor moveWithCells="1">
              <from>
                <xdr:col>26</xdr:col>
                <xdr:colOff>28575</xdr:colOff>
                <xdr:row>252</xdr:row>
                <xdr:rowOff>19050</xdr:rowOff>
              </from>
              <to>
                <xdr:col>41</xdr:col>
                <xdr:colOff>142875</xdr:colOff>
                <xdr:row>253</xdr:row>
                <xdr:rowOff>133350</xdr:rowOff>
              </to>
            </anchor>
          </objectPr>
        </oleObject>
      </mc:Choice>
      <mc:Fallback>
        <oleObject progId="Word.Document.12" shapeId="1183" r:id="rId184"/>
      </mc:Fallback>
    </mc:AlternateContent>
    <mc:AlternateContent xmlns:mc="http://schemas.openxmlformats.org/markup-compatibility/2006">
      <mc:Choice Requires="x14">
        <oleObject progId="Word.Document.12" shapeId="1184" r:id="rId186">
          <objectPr defaultSize="0" autoPict="0" r:id="rId187">
            <anchor moveWithCells="1">
              <from>
                <xdr:col>32</xdr:col>
                <xdr:colOff>76200</xdr:colOff>
                <xdr:row>253</xdr:row>
                <xdr:rowOff>133350</xdr:rowOff>
              </from>
              <to>
                <xdr:col>43</xdr:col>
                <xdr:colOff>0</xdr:colOff>
                <xdr:row>256</xdr:row>
                <xdr:rowOff>47625</xdr:rowOff>
              </to>
            </anchor>
          </objectPr>
        </oleObject>
      </mc:Choice>
      <mc:Fallback>
        <oleObject progId="Word.Document.12" shapeId="1184" r:id="rId186"/>
      </mc:Fallback>
    </mc:AlternateContent>
    <mc:AlternateContent xmlns:mc="http://schemas.openxmlformats.org/markup-compatibility/2006">
      <mc:Choice Requires="x14">
        <oleObject progId="Word.Document.12" shapeId="1185" r:id="rId188">
          <objectPr defaultSize="0" autoPict="0" r:id="rId189">
            <anchor moveWithCells="1">
              <from>
                <xdr:col>17</xdr:col>
                <xdr:colOff>28575</xdr:colOff>
                <xdr:row>255</xdr:row>
                <xdr:rowOff>219075</xdr:rowOff>
              </from>
              <to>
                <xdr:col>43</xdr:col>
                <xdr:colOff>28575</xdr:colOff>
                <xdr:row>258</xdr:row>
                <xdr:rowOff>9525</xdr:rowOff>
              </to>
            </anchor>
          </objectPr>
        </oleObject>
      </mc:Choice>
      <mc:Fallback>
        <oleObject progId="Word.Document.12" shapeId="1185" r:id="rId188"/>
      </mc:Fallback>
    </mc:AlternateContent>
    <mc:AlternateContent xmlns:mc="http://schemas.openxmlformats.org/markup-compatibility/2006">
      <mc:Choice Requires="x14">
        <oleObject progId="Word.Document.12" shapeId="1186" r:id="rId190">
          <objectPr defaultSize="0" r:id="rId191">
            <anchor moveWithCells="1">
              <from>
                <xdr:col>32</xdr:col>
                <xdr:colOff>66675</xdr:colOff>
                <xdr:row>259</xdr:row>
                <xdr:rowOff>28575</xdr:rowOff>
              </from>
              <to>
                <xdr:col>41</xdr:col>
                <xdr:colOff>85725</xdr:colOff>
                <xdr:row>260</xdr:row>
                <xdr:rowOff>95250</xdr:rowOff>
              </to>
            </anchor>
          </objectPr>
        </oleObject>
      </mc:Choice>
      <mc:Fallback>
        <oleObject progId="Word.Document.12" shapeId="1186" r:id="rId190"/>
      </mc:Fallback>
    </mc:AlternateContent>
    <mc:AlternateContent xmlns:mc="http://schemas.openxmlformats.org/markup-compatibility/2006">
      <mc:Choice Requires="x14">
        <oleObject progId="Word.Document.12" shapeId="1187" r:id="rId192">
          <objectPr defaultSize="0" autoPict="0" r:id="rId193">
            <anchor moveWithCells="1">
              <from>
                <xdr:col>20</xdr:col>
                <xdr:colOff>9525</xdr:colOff>
                <xdr:row>259</xdr:row>
                <xdr:rowOff>28575</xdr:rowOff>
              </from>
              <to>
                <xdr:col>27</xdr:col>
                <xdr:colOff>85725</xdr:colOff>
                <xdr:row>260</xdr:row>
                <xdr:rowOff>85725</xdr:rowOff>
              </to>
            </anchor>
          </objectPr>
        </oleObject>
      </mc:Choice>
      <mc:Fallback>
        <oleObject progId="Word.Document.12" shapeId="1187" r:id="rId192"/>
      </mc:Fallback>
    </mc:AlternateContent>
    <mc:AlternateContent xmlns:mc="http://schemas.openxmlformats.org/markup-compatibility/2006">
      <mc:Choice Requires="x14">
        <oleObject progId="Word.Document.12" shapeId="1188" r:id="rId194">
          <objectPr defaultSize="0" r:id="rId195">
            <anchor moveWithCells="1">
              <from>
                <xdr:col>5</xdr:col>
                <xdr:colOff>19050</xdr:colOff>
                <xdr:row>259</xdr:row>
                <xdr:rowOff>38100</xdr:rowOff>
              </from>
              <to>
                <xdr:col>12</xdr:col>
                <xdr:colOff>133350</xdr:colOff>
                <xdr:row>260</xdr:row>
                <xdr:rowOff>104775</xdr:rowOff>
              </to>
            </anchor>
          </objectPr>
        </oleObject>
      </mc:Choice>
      <mc:Fallback>
        <oleObject progId="Word.Document.12" shapeId="1188" r:id="rId194"/>
      </mc:Fallback>
    </mc:AlternateContent>
    <mc:AlternateContent xmlns:mc="http://schemas.openxmlformats.org/markup-compatibility/2006">
      <mc:Choice Requires="x14">
        <oleObject progId="Word.Document.12" shapeId="1189" r:id="rId196">
          <objectPr defaultSize="0" r:id="rId197">
            <anchor moveWithCells="1">
              <from>
                <xdr:col>29</xdr:col>
                <xdr:colOff>142875</xdr:colOff>
                <xdr:row>262</xdr:row>
                <xdr:rowOff>190500</xdr:rowOff>
              </from>
              <to>
                <xdr:col>36</xdr:col>
                <xdr:colOff>104775</xdr:colOff>
                <xdr:row>264</xdr:row>
                <xdr:rowOff>180975</xdr:rowOff>
              </to>
            </anchor>
          </objectPr>
        </oleObject>
      </mc:Choice>
      <mc:Fallback>
        <oleObject progId="Word.Document.12" shapeId="1189" r:id="rId196"/>
      </mc:Fallback>
    </mc:AlternateContent>
    <mc:AlternateContent xmlns:mc="http://schemas.openxmlformats.org/markup-compatibility/2006">
      <mc:Choice Requires="x14">
        <oleObject progId="Word.Document.12" shapeId="1191" r:id="rId198">
          <objectPr defaultSize="0" autoPict="0" r:id="rId199">
            <anchor moveWithCells="1">
              <from>
                <xdr:col>38</xdr:col>
                <xdr:colOff>85725</xdr:colOff>
                <xdr:row>261</xdr:row>
                <xdr:rowOff>47625</xdr:rowOff>
              </from>
              <to>
                <xdr:col>41</xdr:col>
                <xdr:colOff>57150</xdr:colOff>
                <xdr:row>262</xdr:row>
                <xdr:rowOff>114300</xdr:rowOff>
              </to>
            </anchor>
          </objectPr>
        </oleObject>
      </mc:Choice>
      <mc:Fallback>
        <oleObject progId="Word.Document.12" shapeId="1191" r:id="rId198"/>
      </mc:Fallback>
    </mc:AlternateContent>
    <mc:AlternateContent xmlns:mc="http://schemas.openxmlformats.org/markup-compatibility/2006">
      <mc:Choice Requires="x14">
        <oleObject progId="Word.Document.12" shapeId="1192" r:id="rId200">
          <objectPr defaultSize="0" r:id="rId201">
            <anchor moveWithCells="1">
              <from>
                <xdr:col>5</xdr:col>
                <xdr:colOff>114300</xdr:colOff>
                <xdr:row>252</xdr:row>
                <xdr:rowOff>38100</xdr:rowOff>
              </from>
              <to>
                <xdr:col>13</xdr:col>
                <xdr:colOff>114300</xdr:colOff>
                <xdr:row>253</xdr:row>
                <xdr:rowOff>142875</xdr:rowOff>
              </to>
            </anchor>
          </objectPr>
        </oleObject>
      </mc:Choice>
      <mc:Fallback>
        <oleObject progId="Word.Document.12" shapeId="1192" r:id="rId200"/>
      </mc:Fallback>
    </mc:AlternateContent>
    <mc:AlternateContent xmlns:mc="http://schemas.openxmlformats.org/markup-compatibility/2006">
      <mc:Choice Requires="x14">
        <oleObject progId="Word.Document.12" shapeId="1195" r:id="rId202">
          <objectPr defaultSize="0" r:id="rId203">
            <anchor moveWithCells="1">
              <from>
                <xdr:col>17</xdr:col>
                <xdr:colOff>123825</xdr:colOff>
                <xdr:row>52</xdr:row>
                <xdr:rowOff>180975</xdr:rowOff>
              </from>
              <to>
                <xdr:col>21</xdr:col>
                <xdr:colOff>0</xdr:colOff>
                <xdr:row>54</xdr:row>
                <xdr:rowOff>209550</xdr:rowOff>
              </to>
            </anchor>
          </objectPr>
        </oleObject>
      </mc:Choice>
      <mc:Fallback>
        <oleObject progId="Word.Document.12" shapeId="1195" r:id="rId202"/>
      </mc:Fallback>
    </mc:AlternateContent>
    <mc:AlternateContent xmlns:mc="http://schemas.openxmlformats.org/markup-compatibility/2006">
      <mc:Choice Requires="x14">
        <oleObject progId="Word.Document.12" shapeId="1196" r:id="rId204">
          <objectPr defaultSize="0" r:id="rId205">
            <anchor moveWithCells="1">
              <from>
                <xdr:col>5</xdr:col>
                <xdr:colOff>114300</xdr:colOff>
                <xdr:row>52</xdr:row>
                <xdr:rowOff>95250</xdr:rowOff>
              </from>
              <to>
                <xdr:col>14</xdr:col>
                <xdr:colOff>66675</xdr:colOff>
                <xdr:row>55</xdr:row>
                <xdr:rowOff>9525</xdr:rowOff>
              </to>
            </anchor>
          </objectPr>
        </oleObject>
      </mc:Choice>
      <mc:Fallback>
        <oleObject progId="Word.Document.12" shapeId="1196" r:id="rId204"/>
      </mc:Fallback>
    </mc:AlternateContent>
    <mc:AlternateContent xmlns:mc="http://schemas.openxmlformats.org/markup-compatibility/2006">
      <mc:Choice Requires="x14">
        <oleObject progId="Word.Document.12" shapeId="1197" r:id="rId206">
          <objectPr defaultSize="0" r:id="rId207">
            <anchor moveWithCells="1">
              <from>
                <xdr:col>17</xdr:col>
                <xdr:colOff>133350</xdr:colOff>
                <xdr:row>54</xdr:row>
                <xdr:rowOff>190500</xdr:rowOff>
              </from>
              <to>
                <xdr:col>20</xdr:col>
                <xdr:colOff>95250</xdr:colOff>
                <xdr:row>56</xdr:row>
                <xdr:rowOff>190500</xdr:rowOff>
              </to>
            </anchor>
          </objectPr>
        </oleObject>
      </mc:Choice>
      <mc:Fallback>
        <oleObject progId="Word.Document.12" shapeId="1197" r:id="rId206"/>
      </mc:Fallback>
    </mc:AlternateContent>
    <mc:AlternateContent xmlns:mc="http://schemas.openxmlformats.org/markup-compatibility/2006">
      <mc:Choice Requires="x14">
        <oleObject progId="Word.Document.12" shapeId="1198" r:id="rId208">
          <objectPr defaultSize="0" r:id="rId209">
            <anchor moveWithCells="1">
              <from>
                <xdr:col>7</xdr:col>
                <xdr:colOff>123825</xdr:colOff>
                <xdr:row>55</xdr:row>
                <xdr:rowOff>19050</xdr:rowOff>
              </from>
              <to>
                <xdr:col>14</xdr:col>
                <xdr:colOff>123825</xdr:colOff>
                <xdr:row>56</xdr:row>
                <xdr:rowOff>66675</xdr:rowOff>
              </to>
            </anchor>
          </objectPr>
        </oleObject>
      </mc:Choice>
      <mc:Fallback>
        <oleObject progId="Word.Document.12" shapeId="1198" r:id="rId208"/>
      </mc:Fallback>
    </mc:AlternateContent>
    <mc:AlternateContent xmlns:mc="http://schemas.openxmlformats.org/markup-compatibility/2006">
      <mc:Choice Requires="x14">
        <oleObject progId="Word.Document.12" shapeId="1199" r:id="rId210">
          <objectPr defaultSize="0" r:id="rId211">
            <anchor moveWithCells="1">
              <from>
                <xdr:col>17</xdr:col>
                <xdr:colOff>114300</xdr:colOff>
                <xdr:row>56</xdr:row>
                <xdr:rowOff>190500</xdr:rowOff>
              </from>
              <to>
                <xdr:col>20</xdr:col>
                <xdr:colOff>133350</xdr:colOff>
                <xdr:row>58</xdr:row>
                <xdr:rowOff>219075</xdr:rowOff>
              </to>
            </anchor>
          </objectPr>
        </oleObject>
      </mc:Choice>
      <mc:Fallback>
        <oleObject progId="Word.Document.12" shapeId="1199" r:id="rId210"/>
      </mc:Fallback>
    </mc:AlternateContent>
    <mc:AlternateContent xmlns:mc="http://schemas.openxmlformats.org/markup-compatibility/2006">
      <mc:Choice Requires="x14">
        <oleObject progId="Word.Document.12" shapeId="1200" r:id="rId212">
          <objectPr defaultSize="0" r:id="rId21">
            <anchor moveWithCells="1">
              <from>
                <xdr:col>5</xdr:col>
                <xdr:colOff>114300</xdr:colOff>
                <xdr:row>56</xdr:row>
                <xdr:rowOff>95250</xdr:rowOff>
              </from>
              <to>
                <xdr:col>14</xdr:col>
                <xdr:colOff>66675</xdr:colOff>
                <xdr:row>59</xdr:row>
                <xdr:rowOff>9525</xdr:rowOff>
              </to>
            </anchor>
          </objectPr>
        </oleObject>
      </mc:Choice>
      <mc:Fallback>
        <oleObject progId="Word.Document.12" shapeId="1200" r:id="rId212"/>
      </mc:Fallback>
    </mc:AlternateContent>
    <mc:AlternateContent xmlns:mc="http://schemas.openxmlformats.org/markup-compatibility/2006">
      <mc:Choice Requires="x14">
        <oleObject progId="Word.Document.12" shapeId="1201" r:id="rId213">
          <objectPr defaultSize="0" r:id="rId214">
            <anchor moveWithCells="1">
              <from>
                <xdr:col>17</xdr:col>
                <xdr:colOff>133350</xdr:colOff>
                <xdr:row>58</xdr:row>
                <xdr:rowOff>180975</xdr:rowOff>
              </from>
              <to>
                <xdr:col>20</xdr:col>
                <xdr:colOff>76200</xdr:colOff>
                <xdr:row>60</xdr:row>
                <xdr:rowOff>180975</xdr:rowOff>
              </to>
            </anchor>
          </objectPr>
        </oleObject>
      </mc:Choice>
      <mc:Fallback>
        <oleObject progId="Word.Document.12" shapeId="1201" r:id="rId213"/>
      </mc:Fallback>
    </mc:AlternateContent>
    <mc:AlternateContent xmlns:mc="http://schemas.openxmlformats.org/markup-compatibility/2006">
      <mc:Choice Requires="x14">
        <oleObject progId="Word.Document.12" shapeId="1202" r:id="rId215">
          <objectPr defaultSize="0" r:id="rId32">
            <anchor moveWithCells="1">
              <from>
                <xdr:col>6</xdr:col>
                <xdr:colOff>114300</xdr:colOff>
                <xdr:row>59</xdr:row>
                <xdr:rowOff>28575</xdr:rowOff>
              </from>
              <to>
                <xdr:col>14</xdr:col>
                <xdr:colOff>85725</xdr:colOff>
                <xdr:row>60</xdr:row>
                <xdr:rowOff>76200</xdr:rowOff>
              </to>
            </anchor>
          </objectPr>
        </oleObject>
      </mc:Choice>
      <mc:Fallback>
        <oleObject progId="Word.Document.12" shapeId="1202" r:id="rId215"/>
      </mc:Fallback>
    </mc:AlternateContent>
    <mc:AlternateContent xmlns:mc="http://schemas.openxmlformats.org/markup-compatibility/2006">
      <mc:Choice Requires="x14">
        <oleObject progId="Word.Document.12" shapeId="1203" r:id="rId216">
          <objectPr defaultSize="0" r:id="rId217">
            <anchor moveWithCells="1">
              <from>
                <xdr:col>22</xdr:col>
                <xdr:colOff>85725</xdr:colOff>
                <xdr:row>48</xdr:row>
                <xdr:rowOff>57150</xdr:rowOff>
              </from>
              <to>
                <xdr:col>42</xdr:col>
                <xdr:colOff>47625</xdr:colOff>
                <xdr:row>53</xdr:row>
                <xdr:rowOff>104775</xdr:rowOff>
              </to>
            </anchor>
          </objectPr>
        </oleObject>
      </mc:Choice>
      <mc:Fallback>
        <oleObject progId="Word.Document.12" shapeId="1203" r:id="rId216"/>
      </mc:Fallback>
    </mc:AlternateContent>
    <mc:AlternateContent xmlns:mc="http://schemas.openxmlformats.org/markup-compatibility/2006">
      <mc:Choice Requires="x14">
        <oleObject progId="Word.Document.12" shapeId="1204" r:id="rId218">
          <objectPr defaultSize="0" r:id="rId219">
            <anchor moveWithCells="1">
              <from>
                <xdr:col>22</xdr:col>
                <xdr:colOff>123825</xdr:colOff>
                <xdr:row>76</xdr:row>
                <xdr:rowOff>180975</xdr:rowOff>
              </from>
              <to>
                <xdr:col>42</xdr:col>
                <xdr:colOff>66675</xdr:colOff>
                <xdr:row>78</xdr:row>
                <xdr:rowOff>219075</xdr:rowOff>
              </to>
            </anchor>
          </objectPr>
        </oleObject>
      </mc:Choice>
      <mc:Fallback>
        <oleObject progId="Word.Document.12" shapeId="1204" r:id="rId218"/>
      </mc:Fallback>
    </mc:AlternateContent>
    <mc:AlternateContent xmlns:mc="http://schemas.openxmlformats.org/markup-compatibility/2006">
      <mc:Choice Requires="x14">
        <oleObject progId="Word.Document.12" shapeId="1205" r:id="rId220">
          <objectPr defaultSize="0" r:id="rId221">
            <anchor moveWithCells="1">
              <from>
                <xdr:col>29</xdr:col>
                <xdr:colOff>19050</xdr:colOff>
                <xdr:row>121</xdr:row>
                <xdr:rowOff>171450</xdr:rowOff>
              </from>
              <to>
                <xdr:col>42</xdr:col>
                <xdr:colOff>47625</xdr:colOff>
                <xdr:row>123</xdr:row>
                <xdr:rowOff>180975</xdr:rowOff>
              </to>
            </anchor>
          </objectPr>
        </oleObject>
      </mc:Choice>
      <mc:Fallback>
        <oleObject progId="Word.Document.12" shapeId="1205" r:id="rId220"/>
      </mc:Fallback>
    </mc:AlternateContent>
    <mc:AlternateContent xmlns:mc="http://schemas.openxmlformats.org/markup-compatibility/2006">
      <mc:Choice Requires="x14">
        <oleObject progId="Word.Document.12" shapeId="1206" r:id="rId222">
          <objectPr defaultSize="0" r:id="rId223">
            <anchor moveWithCells="1">
              <from>
                <xdr:col>24</xdr:col>
                <xdr:colOff>0</xdr:colOff>
                <xdr:row>125</xdr:row>
                <xdr:rowOff>123825</xdr:rowOff>
              </from>
              <to>
                <xdr:col>43</xdr:col>
                <xdr:colOff>28575</xdr:colOff>
                <xdr:row>128</xdr:row>
                <xdr:rowOff>57150</xdr:rowOff>
              </to>
            </anchor>
          </objectPr>
        </oleObject>
      </mc:Choice>
      <mc:Fallback>
        <oleObject progId="Word.Document.12" shapeId="1206" r:id="rId222"/>
      </mc:Fallback>
    </mc:AlternateContent>
    <mc:AlternateContent xmlns:mc="http://schemas.openxmlformats.org/markup-compatibility/2006">
      <mc:Choice Requires="x14">
        <oleObject progId="Word.Document.12" shapeId="1207" r:id="rId224">
          <objectPr defaultSize="0" r:id="rId225">
            <anchor moveWithCells="1">
              <from>
                <xdr:col>28</xdr:col>
                <xdr:colOff>19050</xdr:colOff>
                <xdr:row>67</xdr:row>
                <xdr:rowOff>9525</xdr:rowOff>
              </from>
              <to>
                <xdr:col>43</xdr:col>
                <xdr:colOff>9525</xdr:colOff>
                <xdr:row>68</xdr:row>
                <xdr:rowOff>57150</xdr:rowOff>
              </to>
            </anchor>
          </objectPr>
        </oleObject>
      </mc:Choice>
      <mc:Fallback>
        <oleObject progId="Word.Document.12" shapeId="1207" r:id="rId224"/>
      </mc:Fallback>
    </mc:AlternateContent>
    <mc:AlternateContent xmlns:mc="http://schemas.openxmlformats.org/markup-compatibility/2006">
      <mc:Choice Requires="x14">
        <oleObject progId="Word.Document.12" shapeId="1208" r:id="rId226">
          <objectPr defaultSize="0" r:id="rId227">
            <anchor moveWithCells="1">
              <from>
                <xdr:col>28</xdr:col>
                <xdr:colOff>66675</xdr:colOff>
                <xdr:row>74</xdr:row>
                <xdr:rowOff>47625</xdr:rowOff>
              </from>
              <to>
                <xdr:col>37</xdr:col>
                <xdr:colOff>123825</xdr:colOff>
                <xdr:row>75</xdr:row>
                <xdr:rowOff>95250</xdr:rowOff>
              </to>
            </anchor>
          </objectPr>
        </oleObject>
      </mc:Choice>
      <mc:Fallback>
        <oleObject progId="Word.Document.12" shapeId="1208" r:id="rId226"/>
      </mc:Fallback>
    </mc:AlternateContent>
    <mc:AlternateContent xmlns:mc="http://schemas.openxmlformats.org/markup-compatibility/2006">
      <mc:Choice Requires="x14">
        <oleObject progId="Word.Document.12" shapeId="1210" r:id="rId228">
          <objectPr defaultSize="0" r:id="rId229">
            <anchor moveWithCells="1">
              <from>
                <xdr:col>28</xdr:col>
                <xdr:colOff>95250</xdr:colOff>
                <xdr:row>128</xdr:row>
                <xdr:rowOff>190500</xdr:rowOff>
              </from>
              <to>
                <xdr:col>43</xdr:col>
                <xdr:colOff>9525</xdr:colOff>
                <xdr:row>130</xdr:row>
                <xdr:rowOff>209550</xdr:rowOff>
              </to>
            </anchor>
          </objectPr>
        </oleObject>
      </mc:Choice>
      <mc:Fallback>
        <oleObject progId="Word.Document.12" shapeId="1210" r:id="rId228"/>
      </mc:Fallback>
    </mc:AlternateContent>
    <mc:AlternateContent xmlns:mc="http://schemas.openxmlformats.org/markup-compatibility/2006">
      <mc:Choice Requires="x14">
        <oleObject progId="Word.Document.12" shapeId="1213" r:id="rId230">
          <objectPr defaultSize="0" r:id="rId231">
            <anchor moveWithCells="1">
              <from>
                <xdr:col>30</xdr:col>
                <xdr:colOff>104775</xdr:colOff>
                <xdr:row>138</xdr:row>
                <xdr:rowOff>47625</xdr:rowOff>
              </from>
              <to>
                <xdr:col>40</xdr:col>
                <xdr:colOff>47625</xdr:colOff>
                <xdr:row>139</xdr:row>
                <xdr:rowOff>114300</xdr:rowOff>
              </to>
            </anchor>
          </objectPr>
        </oleObject>
      </mc:Choice>
      <mc:Fallback>
        <oleObject progId="Word.Document.12" shapeId="1213" r:id="rId230"/>
      </mc:Fallback>
    </mc:AlternateContent>
    <mc:AlternateContent xmlns:mc="http://schemas.openxmlformats.org/markup-compatibility/2006">
      <mc:Choice Requires="x14">
        <oleObject progId="Word.Document.12" shapeId="1214" r:id="rId232">
          <objectPr defaultSize="0" r:id="rId233">
            <anchor moveWithCells="1">
              <from>
                <xdr:col>30</xdr:col>
                <xdr:colOff>133350</xdr:colOff>
                <xdr:row>140</xdr:row>
                <xdr:rowOff>38100</xdr:rowOff>
              </from>
              <to>
                <xdr:col>38</xdr:col>
                <xdr:colOff>133350</xdr:colOff>
                <xdr:row>141</xdr:row>
                <xdr:rowOff>85725</xdr:rowOff>
              </to>
            </anchor>
          </objectPr>
        </oleObject>
      </mc:Choice>
      <mc:Fallback>
        <oleObject progId="Word.Document.12" shapeId="1214" r:id="rId232"/>
      </mc:Fallback>
    </mc:AlternateContent>
    <mc:AlternateContent xmlns:mc="http://schemas.openxmlformats.org/markup-compatibility/2006">
      <mc:Choice Requires="x14">
        <oleObject progId="Word.Document.12" shapeId="1215" r:id="rId234">
          <objectPr defaultSize="0" r:id="rId235">
            <anchor moveWithCells="1">
              <from>
                <xdr:col>20</xdr:col>
                <xdr:colOff>85725</xdr:colOff>
                <xdr:row>131</xdr:row>
                <xdr:rowOff>133350</xdr:rowOff>
              </from>
              <to>
                <xdr:col>42</xdr:col>
                <xdr:colOff>133350</xdr:colOff>
                <xdr:row>133</xdr:row>
                <xdr:rowOff>209550</xdr:rowOff>
              </to>
            </anchor>
          </objectPr>
        </oleObject>
      </mc:Choice>
      <mc:Fallback>
        <oleObject progId="Word.Document.12" shapeId="1215" r:id="rId234"/>
      </mc:Fallback>
    </mc:AlternateContent>
    <mc:AlternateContent xmlns:mc="http://schemas.openxmlformats.org/markup-compatibility/2006">
      <mc:Choice Requires="x14">
        <oleObject progId="Word.Document.12" shapeId="1218" r:id="rId236">
          <objectPr defaultSize="0" r:id="rId237">
            <anchor moveWithCells="1">
              <from>
                <xdr:col>11</xdr:col>
                <xdr:colOff>28575</xdr:colOff>
                <xdr:row>142</xdr:row>
                <xdr:rowOff>38100</xdr:rowOff>
              </from>
              <to>
                <xdr:col>12</xdr:col>
                <xdr:colOff>114300</xdr:colOff>
                <xdr:row>143</xdr:row>
                <xdr:rowOff>85725</xdr:rowOff>
              </to>
            </anchor>
          </objectPr>
        </oleObject>
      </mc:Choice>
      <mc:Fallback>
        <oleObject progId="Word.Document.12" shapeId="1218" r:id="rId236"/>
      </mc:Fallback>
    </mc:AlternateContent>
    <mc:AlternateContent xmlns:mc="http://schemas.openxmlformats.org/markup-compatibility/2006">
      <mc:Choice Requires="x14">
        <oleObject progId="Word.Document.12" shapeId="1219" r:id="rId238">
          <objectPr defaultSize="0" r:id="rId237">
            <anchor moveWithCells="1">
              <from>
                <xdr:col>11</xdr:col>
                <xdr:colOff>28575</xdr:colOff>
                <xdr:row>144</xdr:row>
                <xdr:rowOff>38100</xdr:rowOff>
              </from>
              <to>
                <xdr:col>12</xdr:col>
                <xdr:colOff>114300</xdr:colOff>
                <xdr:row>145</xdr:row>
                <xdr:rowOff>85725</xdr:rowOff>
              </to>
            </anchor>
          </objectPr>
        </oleObject>
      </mc:Choice>
      <mc:Fallback>
        <oleObject progId="Word.Document.12" shapeId="1219" r:id="rId238"/>
      </mc:Fallback>
    </mc:AlternateContent>
    <mc:AlternateContent xmlns:mc="http://schemas.openxmlformats.org/markup-compatibility/2006">
      <mc:Choice Requires="x14">
        <oleObject progId="Word.Document.12" shapeId="1220" r:id="rId239">
          <objectPr defaultSize="0" r:id="rId240">
            <anchor moveWithCells="1">
              <from>
                <xdr:col>34</xdr:col>
                <xdr:colOff>47625</xdr:colOff>
                <xdr:row>94</xdr:row>
                <xdr:rowOff>38100</xdr:rowOff>
              </from>
              <to>
                <xdr:col>41</xdr:col>
                <xdr:colOff>114300</xdr:colOff>
                <xdr:row>95</xdr:row>
                <xdr:rowOff>104775</xdr:rowOff>
              </to>
            </anchor>
          </objectPr>
        </oleObject>
      </mc:Choice>
      <mc:Fallback>
        <oleObject progId="Word.Document.12" shapeId="1220" r:id="rId239"/>
      </mc:Fallback>
    </mc:AlternateContent>
    <mc:AlternateContent xmlns:mc="http://schemas.openxmlformats.org/markup-compatibility/2006">
      <mc:Choice Requires="x14">
        <oleObject progId="Word.Document.12" shapeId="1221" r:id="rId241">
          <objectPr defaultSize="0" autoPict="0" r:id="rId242">
            <anchor moveWithCells="1">
              <from>
                <xdr:col>32</xdr:col>
                <xdr:colOff>66675</xdr:colOff>
                <xdr:row>90</xdr:row>
                <xdr:rowOff>28575</xdr:rowOff>
              </from>
              <to>
                <xdr:col>42</xdr:col>
                <xdr:colOff>9525</xdr:colOff>
                <xdr:row>91</xdr:row>
                <xdr:rowOff>95250</xdr:rowOff>
              </to>
            </anchor>
          </objectPr>
        </oleObject>
      </mc:Choice>
      <mc:Fallback>
        <oleObject progId="Word.Document.12" shapeId="1221" r:id="rId241"/>
      </mc:Fallback>
    </mc:AlternateContent>
    <mc:AlternateContent xmlns:mc="http://schemas.openxmlformats.org/markup-compatibility/2006">
      <mc:Choice Requires="x14">
        <oleObject progId="Word.Document.12" shapeId="1230" r:id="rId243">
          <objectPr defaultSize="0" r:id="rId244">
            <anchor moveWithCells="1">
              <from>
                <xdr:col>32</xdr:col>
                <xdr:colOff>104775</xdr:colOff>
                <xdr:row>190</xdr:row>
                <xdr:rowOff>66675</xdr:rowOff>
              </from>
              <to>
                <xdr:col>34</xdr:col>
                <xdr:colOff>19050</xdr:colOff>
                <xdr:row>191</xdr:row>
                <xdr:rowOff>114300</xdr:rowOff>
              </to>
            </anchor>
          </objectPr>
        </oleObject>
      </mc:Choice>
      <mc:Fallback>
        <oleObject progId="Word.Document.12" shapeId="1230" r:id="rId243"/>
      </mc:Fallback>
    </mc:AlternateContent>
    <mc:AlternateContent xmlns:mc="http://schemas.openxmlformats.org/markup-compatibility/2006">
      <mc:Choice Requires="x14">
        <oleObject progId="Word.Document.12" shapeId="1233" r:id="rId245">
          <objectPr defaultSize="0" r:id="rId246">
            <anchor moveWithCells="1">
              <from>
                <xdr:col>18</xdr:col>
                <xdr:colOff>76200</xdr:colOff>
                <xdr:row>233</xdr:row>
                <xdr:rowOff>228600</xdr:rowOff>
              </from>
              <to>
                <xdr:col>29</xdr:col>
                <xdr:colOff>57150</xdr:colOff>
                <xdr:row>235</xdr:row>
                <xdr:rowOff>190500</xdr:rowOff>
              </to>
            </anchor>
          </objectPr>
        </oleObject>
      </mc:Choice>
      <mc:Fallback>
        <oleObject progId="Word.Document.12" shapeId="1233" r:id="rId245"/>
      </mc:Fallback>
    </mc:AlternateContent>
    <mc:AlternateContent xmlns:mc="http://schemas.openxmlformats.org/markup-compatibility/2006">
      <mc:Choice Requires="x14">
        <oleObject progId="Word.Document.12" shapeId="1236" r:id="rId247">
          <objectPr defaultSize="0" r:id="rId248">
            <anchor moveWithCells="1">
              <from>
                <xdr:col>11</xdr:col>
                <xdr:colOff>47625</xdr:colOff>
                <xdr:row>238</xdr:row>
                <xdr:rowOff>76200</xdr:rowOff>
              </from>
              <to>
                <xdr:col>16</xdr:col>
                <xdr:colOff>57150</xdr:colOff>
                <xdr:row>239</xdr:row>
                <xdr:rowOff>171450</xdr:rowOff>
              </to>
            </anchor>
          </objectPr>
        </oleObject>
      </mc:Choice>
      <mc:Fallback>
        <oleObject progId="Word.Document.12" shapeId="1236" r:id="rId247"/>
      </mc:Fallback>
    </mc:AlternateContent>
    <mc:AlternateContent xmlns:mc="http://schemas.openxmlformats.org/markup-compatibility/2006">
      <mc:Choice Requires="x14">
        <oleObject progId="Word.Document.12" shapeId="1237" r:id="rId249">
          <objectPr defaultSize="0" r:id="rId250">
            <anchor moveWithCells="1">
              <from>
                <xdr:col>38</xdr:col>
                <xdr:colOff>133350</xdr:colOff>
                <xdr:row>263</xdr:row>
                <xdr:rowOff>47625</xdr:rowOff>
              </from>
              <to>
                <xdr:col>41</xdr:col>
                <xdr:colOff>133350</xdr:colOff>
                <xdr:row>264</xdr:row>
                <xdr:rowOff>104775</xdr:rowOff>
              </to>
            </anchor>
          </objectPr>
        </oleObject>
      </mc:Choice>
      <mc:Fallback>
        <oleObject progId="Word.Document.12" shapeId="1237" r:id="rId249"/>
      </mc:Fallback>
    </mc:AlternateContent>
    <mc:AlternateContent xmlns:mc="http://schemas.openxmlformats.org/markup-compatibility/2006">
      <mc:Choice Requires="x14">
        <oleObject progId="Word.Document.12" shapeId="1238" r:id="rId251">
          <objectPr defaultSize="0" r:id="rId252">
            <anchor moveWithCells="1">
              <from>
                <xdr:col>22</xdr:col>
                <xdr:colOff>0</xdr:colOff>
                <xdr:row>263</xdr:row>
                <xdr:rowOff>28575</xdr:rowOff>
              </from>
              <to>
                <xdr:col>24</xdr:col>
                <xdr:colOff>19050</xdr:colOff>
                <xdr:row>264</xdr:row>
                <xdr:rowOff>76200</xdr:rowOff>
              </to>
            </anchor>
          </objectPr>
        </oleObject>
      </mc:Choice>
      <mc:Fallback>
        <oleObject progId="Word.Document.12" shapeId="1238" r:id="rId251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Data!$A$5:$A$7</xm:f>
          </x14:formula1>
          <xm:sqref>R16:U16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TW-RBS وسط</vt:lpstr>
      <vt:lpstr>'TW-RBS وسط'!OLE_LINK3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Nima</dc:creator>
  <cp:lastModifiedBy>Windows User</cp:lastModifiedBy>
  <cp:lastPrinted>2019-06-16T13:44:21Z</cp:lastPrinted>
  <dcterms:created xsi:type="dcterms:W3CDTF">2019-06-16T13:42:50Z</dcterms:created>
  <dcterms:modified xsi:type="dcterms:W3CDTF">2020-02-26T14:57:43Z</dcterms:modified>
</cp:coreProperties>
</file>