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.S\Desktop\"/>
    </mc:Choice>
  </mc:AlternateContent>
  <bookViews>
    <workbookView xWindow="0" yWindow="0" windowWidth="15360" windowHeight="738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1" l="1"/>
  <c r="D4" i="1"/>
  <c r="C25" i="1" l="1"/>
  <c r="C55" i="1" l="1"/>
  <c r="A6" i="1"/>
  <c r="C26" i="1"/>
  <c r="C32" i="1"/>
  <c r="J5" i="1" l="1"/>
  <c r="I5" i="1"/>
  <c r="J4" i="1"/>
  <c r="I4" i="1"/>
  <c r="D16" i="1"/>
  <c r="C24" i="1"/>
  <c r="L12" i="1"/>
  <c r="L11" i="1"/>
  <c r="D5" i="1"/>
  <c r="D9" i="1"/>
  <c r="E7" i="1"/>
  <c r="E5" i="1" l="1"/>
  <c r="C57" i="1" s="1"/>
  <c r="E15" i="1"/>
  <c r="C30" i="1" s="1"/>
  <c r="C51" i="1"/>
  <c r="C50" i="1"/>
  <c r="E10" i="1"/>
  <c r="H27" i="1"/>
  <c r="C19" i="1" l="1"/>
  <c r="C20" i="1" s="1"/>
  <c r="H28" i="1"/>
  <c r="C21" i="1"/>
  <c r="C58" i="1"/>
  <c r="C52" i="1"/>
  <c r="C53" i="1"/>
  <c r="C48" i="1"/>
  <c r="C47" i="1" s="1"/>
  <c r="C56" i="1"/>
  <c r="C29" i="1"/>
  <c r="H29" i="1"/>
  <c r="C28" i="1" s="1"/>
  <c r="C27" i="1" s="1"/>
  <c r="C59" i="1" l="1"/>
  <c r="C60" i="1" s="1"/>
  <c r="E14" i="1" s="1"/>
  <c r="C23" i="1"/>
  <c r="C22" i="1"/>
  <c r="C54" i="1"/>
  <c r="C31" i="1" s="1"/>
  <c r="C46" i="1"/>
  <c r="C35" i="1"/>
  <c r="C33" i="1" l="1"/>
  <c r="C34" i="1" s="1"/>
  <c r="C36" i="1"/>
  <c r="C40" i="1"/>
  <c r="C37" i="1"/>
  <c r="C39" i="1" l="1"/>
  <c r="D39" i="1" s="1"/>
  <c r="A42" i="1" s="1"/>
  <c r="C38" i="1"/>
  <c r="D38" i="1" s="1"/>
  <c r="C44" i="1" s="1"/>
  <c r="E47" i="1" s="1"/>
  <c r="C41" i="1"/>
  <c r="D41" i="1" s="1"/>
  <c r="C43" i="1" s="1"/>
  <c r="C42" i="1" l="1"/>
  <c r="C45" i="1" s="1"/>
  <c r="H4" i="1" s="1"/>
  <c r="F4" i="1" s="1"/>
  <c r="E46" i="1"/>
  <c r="F46" i="1" l="1"/>
  <c r="H5" i="1" s="1"/>
  <c r="F5" i="1" s="1"/>
  <c r="F47" i="1"/>
</calcChain>
</file>

<file path=xl/comments1.xml><?xml version="1.0" encoding="utf-8"?>
<comments xmlns="http://schemas.openxmlformats.org/spreadsheetml/2006/main">
  <authors>
    <author>N.S</author>
  </authors>
  <commentList>
    <comment ref="C4" authorId="0" shapeId="0">
      <text>
        <r>
          <rPr>
            <sz val="9"/>
            <color indexed="81"/>
            <rFont val="Tahoma"/>
            <family val="2"/>
          </rPr>
          <t>با وزن حداکثر 30 کیلونیوتن</t>
        </r>
      </text>
    </comment>
  </commentList>
</comments>
</file>

<file path=xl/sharedStrings.xml><?xml version="1.0" encoding="utf-8"?>
<sst xmlns="http://schemas.openxmlformats.org/spreadsheetml/2006/main" count="127" uniqueCount="92">
  <si>
    <t>کاربری کف</t>
  </si>
  <si>
    <t>نوع تیرچه</t>
  </si>
  <si>
    <t>ارتفاع بلوک</t>
  </si>
  <si>
    <t>ضخامت دال بتنی</t>
  </si>
  <si>
    <t>عرض بلوک</t>
  </si>
  <si>
    <t>جنس بلوک</t>
  </si>
  <si>
    <t>طول تیرچه</t>
  </si>
  <si>
    <t>مقاومت بتن</t>
  </si>
  <si>
    <t>تنش تسلیم فولاد</t>
  </si>
  <si>
    <t>نمرۀ آرماتور حرارتی</t>
  </si>
  <si>
    <t>مسکونی</t>
  </si>
  <si>
    <t>تجاری</t>
  </si>
  <si>
    <t>بام</t>
  </si>
  <si>
    <t>اداری</t>
  </si>
  <si>
    <t>مرده</t>
  </si>
  <si>
    <t>زنده</t>
  </si>
  <si>
    <t>تک</t>
  </si>
  <si>
    <t>مضاعف</t>
  </si>
  <si>
    <t>cm</t>
  </si>
  <si>
    <t>سیمانی</t>
  </si>
  <si>
    <t>یونولیتی</t>
  </si>
  <si>
    <t>m</t>
  </si>
  <si>
    <r>
      <t>Kg/cm</t>
    </r>
    <r>
      <rPr>
        <i/>
        <sz val="8"/>
        <color theme="1"/>
        <rFont val="Times New Roman"/>
        <family val="1"/>
      </rPr>
      <t>2</t>
    </r>
  </si>
  <si>
    <r>
      <t>cm</t>
    </r>
    <r>
      <rPr>
        <i/>
        <sz val="8"/>
        <color theme="1"/>
        <rFont val="Times New Roman"/>
        <family val="1"/>
      </rPr>
      <t>2</t>
    </r>
  </si>
  <si>
    <t>Wd</t>
  </si>
  <si>
    <t>کل</t>
  </si>
  <si>
    <t>عرض پاشنه تیرچه</t>
  </si>
  <si>
    <t>Kg/m</t>
  </si>
  <si>
    <t>Md</t>
  </si>
  <si>
    <t>Ml</t>
  </si>
  <si>
    <t>Kg.m</t>
  </si>
  <si>
    <t>Md+l</t>
  </si>
  <si>
    <t>Fr</t>
  </si>
  <si>
    <t>Ec</t>
  </si>
  <si>
    <t>ns</t>
  </si>
  <si>
    <t>Ig</t>
  </si>
  <si>
    <t>Cm4</t>
  </si>
  <si>
    <t>Ỹ</t>
  </si>
  <si>
    <t>A</t>
  </si>
  <si>
    <t>تیرچه</t>
  </si>
  <si>
    <t>دال</t>
  </si>
  <si>
    <t>Cm</t>
  </si>
  <si>
    <t>B</t>
  </si>
  <si>
    <t>r</t>
  </si>
  <si>
    <t>As</t>
  </si>
  <si>
    <t>A's</t>
  </si>
  <si>
    <t>d</t>
  </si>
  <si>
    <r>
      <t>I</t>
    </r>
    <r>
      <rPr>
        <i/>
        <sz val="9"/>
        <color theme="1"/>
        <rFont val="Times New Roman"/>
        <family val="1"/>
      </rPr>
      <t>cr</t>
    </r>
  </si>
  <si>
    <t>Ig/Icr</t>
  </si>
  <si>
    <t>Mcr</t>
  </si>
  <si>
    <t>Mcr/Md</t>
  </si>
  <si>
    <t>(Mcr/Msus)^3</t>
  </si>
  <si>
    <t>(Ie)sus</t>
  </si>
  <si>
    <t>(Ie)d</t>
  </si>
  <si>
    <t>(Mcr/Md+l)^3</t>
  </si>
  <si>
    <t>(Ie)d+l</t>
  </si>
  <si>
    <t>(delta i)d</t>
  </si>
  <si>
    <t>(delta i)d+l</t>
  </si>
  <si>
    <t>(delta i)l</t>
  </si>
  <si>
    <t>(delta i)sus</t>
  </si>
  <si>
    <t>موجود</t>
  </si>
  <si>
    <t>اجزاء غیر سازه ای حساس به تغییر مکان</t>
  </si>
  <si>
    <t>نمی باشد</t>
  </si>
  <si>
    <t>می باشد</t>
  </si>
  <si>
    <t>λ</t>
  </si>
  <si>
    <t>5 years</t>
  </si>
  <si>
    <t>Ṕ</t>
  </si>
  <si>
    <t>Dλcp+Dλsh+(Di)l</t>
  </si>
  <si>
    <t>(delta i)live</t>
  </si>
  <si>
    <t>(delta)long</t>
  </si>
  <si>
    <t>Yt</t>
  </si>
  <si>
    <t>nAs</t>
  </si>
  <si>
    <t>(n-1)A's</t>
  </si>
  <si>
    <t>C</t>
  </si>
  <si>
    <t>f</t>
  </si>
  <si>
    <t>Kd</t>
  </si>
  <si>
    <t>d'</t>
  </si>
  <si>
    <t>3 month</t>
  </si>
  <si>
    <t>ورودی ها</t>
  </si>
  <si>
    <t>نتیجه</t>
  </si>
  <si>
    <t>مقدار خیز مجاز با توجه به اینکه</t>
  </si>
  <si>
    <t>Md+0.3l</t>
  </si>
  <si>
    <t>λ*(delta i)sus</t>
  </si>
  <si>
    <t>آرماتور مورد نیاز پاشنه(یک تیرچه)</t>
  </si>
  <si>
    <t>a</t>
  </si>
  <si>
    <t>Mu</t>
  </si>
  <si>
    <r>
      <rPr>
        <sz val="11"/>
        <color theme="1"/>
        <rFont val="Times New Roman"/>
        <family val="1"/>
      </rPr>
      <t>φ</t>
    </r>
    <r>
      <rPr>
        <i/>
        <sz val="11"/>
        <color theme="1"/>
        <rFont val="Times New Roman"/>
        <family val="1"/>
      </rPr>
      <t>Mn</t>
    </r>
  </si>
  <si>
    <t>As calc</t>
  </si>
  <si>
    <t>مساحت کل آرماتور پاشنه یک تیرچه(موجود)</t>
  </si>
  <si>
    <t>مساحت کل آرماتور فوقانی یک تیرچه</t>
  </si>
  <si>
    <t>متفرقه(خودروی سبک)</t>
  </si>
  <si>
    <t>4.7.2019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</si>
</sst>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0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B Lotus"/>
      <charset val="178"/>
    </font>
    <font>
      <sz val="11"/>
      <color theme="1"/>
      <name val="Times New Roman"/>
      <family val="1"/>
    </font>
    <font>
      <i/>
      <sz val="11"/>
      <color theme="1"/>
      <name val="Times New Roman"/>
      <family val="1"/>
    </font>
    <font>
      <i/>
      <sz val="8"/>
      <color theme="1"/>
      <name val="Times New Roman"/>
      <family val="1"/>
    </font>
    <font>
      <i/>
      <sz val="9"/>
      <color theme="1"/>
      <name val="Times New Roman"/>
      <family val="1"/>
    </font>
    <font>
      <sz val="11"/>
      <color theme="4" tint="-0.249977111117893"/>
      <name val="B Lotus"/>
      <charset val="178"/>
    </font>
    <font>
      <sz val="11"/>
      <color theme="0"/>
      <name val="Calibri"/>
      <family val="2"/>
      <scheme val="minor"/>
    </font>
    <font>
      <sz val="11"/>
      <color theme="0" tint="-0.249977111117893"/>
      <name val="B Lotus"/>
      <charset val="178"/>
    </font>
    <font>
      <sz val="11"/>
      <color theme="1"/>
      <name val="B Titr"/>
      <charset val="178"/>
    </font>
    <font>
      <sz val="11"/>
      <color theme="0"/>
      <name val="B Lotus"/>
      <charset val="178"/>
    </font>
    <font>
      <sz val="11"/>
      <name val="B Lotus"/>
      <charset val="178"/>
    </font>
    <font>
      <sz val="9"/>
      <color indexed="81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theme="5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7">
    <border>
      <left/>
      <right/>
      <top/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2" fontId="1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1" fontId="6" fillId="0" borderId="0" xfId="0" applyNumberFormat="1" applyFont="1" applyAlignment="1">
      <alignment horizontal="center" vertical="center"/>
    </xf>
    <xf numFmtId="165" fontId="1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1" fillId="0" borderId="1" xfId="0" applyFont="1" applyBorder="1" applyAlignment="1" applyProtection="1">
      <alignment horizontal="center" vertical="center"/>
      <protection locked="0"/>
    </xf>
    <xf numFmtId="0" fontId="11" fillId="5" borderId="1" xfId="0" applyFont="1" applyFill="1" applyBorder="1" applyAlignment="1">
      <alignment horizontal="center" vertical="center"/>
    </xf>
    <xf numFmtId="2" fontId="1" fillId="6" borderId="1" xfId="0" applyNumberFormat="1" applyFont="1" applyFill="1" applyBorder="1" applyAlignment="1">
      <alignment horizontal="center" vertical="center"/>
    </xf>
    <xf numFmtId="2" fontId="1" fillId="7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10" fillId="2" borderId="3" xfId="0" applyFont="1" applyFill="1" applyBorder="1" applyAlignment="1">
      <alignment horizontal="center" vertical="center" shrinkToFit="1"/>
    </xf>
    <xf numFmtId="0" fontId="7" fillId="2" borderId="4" xfId="0" applyFont="1" applyFill="1" applyBorder="1" applyAlignment="1">
      <alignment horizontal="center" vertical="center" shrinkToFi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3" Type="http://schemas.openxmlformats.org/officeDocument/2006/relationships/image" Target="../media/image3.png"/><Relationship Id="rId21" Type="http://schemas.openxmlformats.org/officeDocument/2006/relationships/image" Target="../media/image21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0" Type="http://schemas.openxmlformats.org/officeDocument/2006/relationships/image" Target="../media/image20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168519</xdr:colOff>
      <xdr:row>13</xdr:row>
      <xdr:rowOff>135587</xdr:rowOff>
    </xdr:from>
    <xdr:to>
      <xdr:col>13</xdr:col>
      <xdr:colOff>443795</xdr:colOff>
      <xdr:row>15</xdr:row>
      <xdr:rowOff>263674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38442" y="3374087"/>
          <a:ext cx="1491545" cy="655625"/>
        </a:xfrm>
        <a:prstGeom prst="rect">
          <a:avLst/>
        </a:prstGeom>
      </xdr:spPr>
    </xdr:pic>
    <xdr:clientData/>
  </xdr:twoCellAnchor>
  <xdr:twoCellAnchor editAs="oneCell">
    <xdr:from>
      <xdr:col>9</xdr:col>
      <xdr:colOff>344367</xdr:colOff>
      <xdr:row>30</xdr:row>
      <xdr:rowOff>95250</xdr:rowOff>
    </xdr:from>
    <xdr:to>
      <xdr:col>10</xdr:col>
      <xdr:colOff>738411</xdr:colOff>
      <xdr:row>32</xdr:row>
      <xdr:rowOff>139877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249867" y="7568712"/>
          <a:ext cx="1161905" cy="542857"/>
        </a:xfrm>
        <a:prstGeom prst="rect">
          <a:avLst/>
        </a:prstGeom>
      </xdr:spPr>
    </xdr:pic>
    <xdr:clientData/>
  </xdr:twoCellAnchor>
  <xdr:twoCellAnchor editAs="oneCell">
    <xdr:from>
      <xdr:col>8</xdr:col>
      <xdr:colOff>490904</xdr:colOff>
      <xdr:row>23</xdr:row>
      <xdr:rowOff>212480</xdr:rowOff>
    </xdr:from>
    <xdr:to>
      <xdr:col>10</xdr:col>
      <xdr:colOff>156645</xdr:colOff>
      <xdr:row>26</xdr:row>
      <xdr:rowOff>122277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964116" y="5942134"/>
          <a:ext cx="1219048" cy="657143"/>
        </a:xfrm>
        <a:prstGeom prst="rect">
          <a:avLst/>
        </a:prstGeom>
      </xdr:spPr>
    </xdr:pic>
    <xdr:clientData/>
  </xdr:twoCellAnchor>
  <xdr:twoCellAnchor editAs="oneCell">
    <xdr:from>
      <xdr:col>8</xdr:col>
      <xdr:colOff>212481</xdr:colOff>
      <xdr:row>27</xdr:row>
      <xdr:rowOff>117231</xdr:rowOff>
    </xdr:from>
    <xdr:to>
      <xdr:col>13</xdr:col>
      <xdr:colOff>169508</xdr:colOff>
      <xdr:row>29</xdr:row>
      <xdr:rowOff>228524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509846" y="6843346"/>
          <a:ext cx="3819048" cy="609524"/>
        </a:xfrm>
        <a:prstGeom prst="rect">
          <a:avLst/>
        </a:prstGeom>
      </xdr:spPr>
    </xdr:pic>
    <xdr:clientData/>
  </xdr:twoCellAnchor>
  <xdr:twoCellAnchor editAs="oneCell">
    <xdr:from>
      <xdr:col>5</xdr:col>
      <xdr:colOff>1194291</xdr:colOff>
      <xdr:row>32</xdr:row>
      <xdr:rowOff>168520</xdr:rowOff>
    </xdr:from>
    <xdr:to>
      <xdr:col>11</xdr:col>
      <xdr:colOff>539453</xdr:colOff>
      <xdr:row>35</xdr:row>
      <xdr:rowOff>21174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5150829" y="8425962"/>
          <a:ext cx="4342857" cy="600000"/>
        </a:xfrm>
        <a:prstGeom prst="rect">
          <a:avLst/>
        </a:prstGeom>
      </xdr:spPr>
    </xdr:pic>
    <xdr:clientData/>
  </xdr:twoCellAnchor>
  <xdr:twoCellAnchor editAs="oneCell">
    <xdr:from>
      <xdr:col>5</xdr:col>
      <xdr:colOff>468923</xdr:colOff>
      <xdr:row>34</xdr:row>
      <xdr:rowOff>201020</xdr:rowOff>
    </xdr:from>
    <xdr:to>
      <xdr:col>10</xdr:col>
      <xdr:colOff>927625</xdr:colOff>
      <xdr:row>38</xdr:row>
      <xdr:rowOff>62141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4205654" y="8670943"/>
          <a:ext cx="4362487" cy="857583"/>
        </a:xfrm>
        <a:prstGeom prst="rect">
          <a:avLst/>
        </a:prstGeom>
      </xdr:spPr>
    </xdr:pic>
    <xdr:clientData/>
  </xdr:twoCellAnchor>
  <xdr:twoCellAnchor editAs="oneCell">
    <xdr:from>
      <xdr:col>5</xdr:col>
      <xdr:colOff>322385</xdr:colOff>
      <xdr:row>41</xdr:row>
      <xdr:rowOff>74518</xdr:rowOff>
    </xdr:from>
    <xdr:to>
      <xdr:col>10</xdr:col>
      <xdr:colOff>266867</xdr:colOff>
      <xdr:row>43</xdr:row>
      <xdr:rowOff>127407</xdr:rowOff>
    </xdr:to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4059116" y="10288249"/>
          <a:ext cx="3849732" cy="551120"/>
        </a:xfrm>
        <a:prstGeom prst="rect">
          <a:avLst/>
        </a:prstGeom>
      </xdr:spPr>
    </xdr:pic>
    <xdr:clientData/>
  </xdr:twoCellAnchor>
  <xdr:twoCellAnchor editAs="oneCell">
    <xdr:from>
      <xdr:col>7</xdr:col>
      <xdr:colOff>183172</xdr:colOff>
      <xdr:row>43</xdr:row>
      <xdr:rowOff>94462</xdr:rowOff>
    </xdr:from>
    <xdr:to>
      <xdr:col>10</xdr:col>
      <xdr:colOff>708114</xdr:colOff>
      <xdr:row>47</xdr:row>
      <xdr:rowOff>65051</xdr:rowOff>
    </xdr:to>
    <xdr:pic>
      <xdr:nvPicPr>
        <xdr:cNvPr id="9" name="Picture 8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5421922" y="10806424"/>
          <a:ext cx="2435803" cy="967050"/>
        </a:xfrm>
        <a:prstGeom prst="rect">
          <a:avLst/>
        </a:prstGeom>
      </xdr:spPr>
    </xdr:pic>
    <xdr:clientData/>
  </xdr:twoCellAnchor>
  <xdr:twoCellAnchor editAs="oneCell">
    <xdr:from>
      <xdr:col>4</xdr:col>
      <xdr:colOff>278424</xdr:colOff>
      <xdr:row>39</xdr:row>
      <xdr:rowOff>73267</xdr:rowOff>
    </xdr:from>
    <xdr:to>
      <xdr:col>8</xdr:col>
      <xdr:colOff>419315</xdr:colOff>
      <xdr:row>41</xdr:row>
      <xdr:rowOff>22655</xdr:rowOff>
    </xdr:to>
    <xdr:pic>
      <xdr:nvPicPr>
        <xdr:cNvPr id="10" name="Picture 9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3407020" y="9788767"/>
          <a:ext cx="4142857" cy="447619"/>
        </a:xfrm>
        <a:prstGeom prst="rect">
          <a:avLst/>
        </a:prstGeom>
      </xdr:spPr>
    </xdr:pic>
    <xdr:clientData/>
  </xdr:twoCellAnchor>
  <xdr:twoCellAnchor editAs="oneCell">
    <xdr:from>
      <xdr:col>11</xdr:col>
      <xdr:colOff>470781</xdr:colOff>
      <xdr:row>38</xdr:row>
      <xdr:rowOff>153864</xdr:rowOff>
    </xdr:from>
    <xdr:to>
      <xdr:col>16</xdr:col>
      <xdr:colOff>427358</xdr:colOff>
      <xdr:row>44</xdr:row>
      <xdr:rowOff>218010</xdr:rowOff>
    </xdr:to>
    <xdr:pic>
      <xdr:nvPicPr>
        <xdr:cNvPr id="11" name="Picture 10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7856319" y="9620249"/>
          <a:ext cx="2997250" cy="1558838"/>
        </a:xfrm>
        <a:prstGeom prst="rect">
          <a:avLst/>
        </a:prstGeom>
      </xdr:spPr>
    </xdr:pic>
    <xdr:clientData/>
  </xdr:twoCellAnchor>
  <xdr:twoCellAnchor editAs="oneCell">
    <xdr:from>
      <xdr:col>7</xdr:col>
      <xdr:colOff>483578</xdr:colOff>
      <xdr:row>46</xdr:row>
      <xdr:rowOff>240292</xdr:rowOff>
    </xdr:from>
    <xdr:to>
      <xdr:col>14</xdr:col>
      <xdr:colOff>173541</xdr:colOff>
      <xdr:row>53</xdr:row>
      <xdr:rowOff>226088</xdr:rowOff>
    </xdr:to>
    <xdr:pic>
      <xdr:nvPicPr>
        <xdr:cNvPr id="12" name="Picture 11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5436578" y="11699600"/>
          <a:ext cx="4642963" cy="1729603"/>
        </a:xfrm>
        <a:prstGeom prst="rect">
          <a:avLst/>
        </a:prstGeom>
      </xdr:spPr>
    </xdr:pic>
    <xdr:clientData/>
  </xdr:twoCellAnchor>
  <xdr:twoCellAnchor editAs="oneCell">
    <xdr:from>
      <xdr:col>5</xdr:col>
      <xdr:colOff>424964</xdr:colOff>
      <xdr:row>47</xdr:row>
      <xdr:rowOff>189004</xdr:rowOff>
    </xdr:from>
    <xdr:to>
      <xdr:col>14</xdr:col>
      <xdr:colOff>87114</xdr:colOff>
      <xdr:row>52</xdr:row>
      <xdr:rowOff>191046</xdr:rowOff>
    </xdr:to>
    <xdr:pic>
      <xdr:nvPicPr>
        <xdr:cNvPr id="13" name="Picture 12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4381502" y="12183177"/>
          <a:ext cx="6485714" cy="1247619"/>
        </a:xfrm>
        <a:prstGeom prst="rect">
          <a:avLst/>
        </a:prstGeom>
      </xdr:spPr>
    </xdr:pic>
    <xdr:clientData/>
  </xdr:twoCellAnchor>
  <xdr:twoCellAnchor editAs="oneCell">
    <xdr:from>
      <xdr:col>11</xdr:col>
      <xdr:colOff>359021</xdr:colOff>
      <xdr:row>22</xdr:row>
      <xdr:rowOff>3701</xdr:rowOff>
    </xdr:from>
    <xdr:to>
      <xdr:col>23</xdr:col>
      <xdr:colOff>528073</xdr:colOff>
      <xdr:row>29</xdr:row>
      <xdr:rowOff>12274</xdr:rowOff>
    </xdr:to>
    <xdr:pic>
      <xdr:nvPicPr>
        <xdr:cNvPr id="14" name="Picture 13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8828944" y="5484239"/>
          <a:ext cx="7466667" cy="1752381"/>
        </a:xfrm>
        <a:prstGeom prst="rect">
          <a:avLst/>
        </a:prstGeom>
      </xdr:spPr>
    </xdr:pic>
    <xdr:clientData/>
  </xdr:twoCellAnchor>
  <xdr:twoCellAnchor editAs="oneCell">
    <xdr:from>
      <xdr:col>2</xdr:col>
      <xdr:colOff>387595</xdr:colOff>
      <xdr:row>64</xdr:row>
      <xdr:rowOff>162656</xdr:rowOff>
    </xdr:from>
    <xdr:to>
      <xdr:col>12</xdr:col>
      <xdr:colOff>528601</xdr:colOff>
      <xdr:row>74</xdr:row>
      <xdr:rowOff>147692</xdr:rowOff>
    </xdr:to>
    <xdr:pic>
      <xdr:nvPicPr>
        <xdr:cNvPr id="15" name="Picture 14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2216395" y="16364681"/>
          <a:ext cx="9104031" cy="2461536"/>
        </a:xfrm>
        <a:prstGeom prst="rect">
          <a:avLst/>
        </a:prstGeom>
      </xdr:spPr>
    </xdr:pic>
    <xdr:clientData/>
  </xdr:twoCellAnchor>
  <xdr:twoCellAnchor editAs="oneCell">
    <xdr:from>
      <xdr:col>13</xdr:col>
      <xdr:colOff>586155</xdr:colOff>
      <xdr:row>12</xdr:row>
      <xdr:rowOff>36631</xdr:rowOff>
    </xdr:from>
    <xdr:to>
      <xdr:col>29</xdr:col>
      <xdr:colOff>27429</xdr:colOff>
      <xdr:row>15</xdr:row>
      <xdr:rowOff>169133</xdr:rowOff>
    </xdr:to>
    <xdr:pic>
      <xdr:nvPicPr>
        <xdr:cNvPr id="16" name="Picture 15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10272347" y="3026016"/>
          <a:ext cx="9171428" cy="92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131885</xdr:colOff>
      <xdr:row>27</xdr:row>
      <xdr:rowOff>139211</xdr:rowOff>
    </xdr:from>
    <xdr:to>
      <xdr:col>15</xdr:col>
      <xdr:colOff>75073</xdr:colOff>
      <xdr:row>31</xdr:row>
      <xdr:rowOff>1357</xdr:rowOff>
    </xdr:to>
    <xdr:pic>
      <xdr:nvPicPr>
        <xdr:cNvPr id="17" name="Picture 16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3260481" y="6865326"/>
          <a:ext cx="9019048" cy="857143"/>
        </a:xfrm>
        <a:prstGeom prst="rect">
          <a:avLst/>
        </a:prstGeom>
      </xdr:spPr>
    </xdr:pic>
    <xdr:clientData/>
  </xdr:twoCellAnchor>
  <xdr:twoCellAnchor editAs="oneCell">
    <xdr:from>
      <xdr:col>6</xdr:col>
      <xdr:colOff>366346</xdr:colOff>
      <xdr:row>21</xdr:row>
      <xdr:rowOff>82406</xdr:rowOff>
    </xdr:from>
    <xdr:to>
      <xdr:col>16</xdr:col>
      <xdr:colOff>516827</xdr:colOff>
      <xdr:row>28</xdr:row>
      <xdr:rowOff>139638</xdr:rowOff>
    </xdr:to>
    <xdr:pic>
      <xdr:nvPicPr>
        <xdr:cNvPr id="19" name="Picture 18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5531827" y="5599579"/>
          <a:ext cx="6979906" cy="1801040"/>
        </a:xfrm>
        <a:prstGeom prst="rect">
          <a:avLst/>
        </a:prstGeom>
      </xdr:spPr>
    </xdr:pic>
    <xdr:clientData/>
  </xdr:twoCellAnchor>
  <xdr:twoCellAnchor editAs="oneCell">
    <xdr:from>
      <xdr:col>9</xdr:col>
      <xdr:colOff>637443</xdr:colOff>
      <xdr:row>18</xdr:row>
      <xdr:rowOff>16464</xdr:rowOff>
    </xdr:from>
    <xdr:to>
      <xdr:col>16</xdr:col>
      <xdr:colOff>239761</xdr:colOff>
      <xdr:row>25</xdr:row>
      <xdr:rowOff>110751</xdr:rowOff>
    </xdr:to>
    <xdr:pic>
      <xdr:nvPicPr>
        <xdr:cNvPr id="20" name="Picture 19"/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7729905" y="4500541"/>
          <a:ext cx="4504762" cy="1838095"/>
        </a:xfrm>
        <a:prstGeom prst="rect">
          <a:avLst/>
        </a:prstGeom>
      </xdr:spPr>
    </xdr:pic>
    <xdr:clientData/>
  </xdr:twoCellAnchor>
  <xdr:twoCellAnchor editAs="oneCell">
    <xdr:from>
      <xdr:col>9</xdr:col>
      <xdr:colOff>51288</xdr:colOff>
      <xdr:row>55</xdr:row>
      <xdr:rowOff>227134</xdr:rowOff>
    </xdr:from>
    <xdr:to>
      <xdr:col>11</xdr:col>
      <xdr:colOff>16623</xdr:colOff>
      <xdr:row>58</xdr:row>
      <xdr:rowOff>127407</xdr:rowOff>
    </xdr:to>
    <xdr:pic>
      <xdr:nvPicPr>
        <xdr:cNvPr id="21" name="Picture 20"/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7143750" y="14214230"/>
          <a:ext cx="1828571" cy="647619"/>
        </a:xfrm>
        <a:prstGeom prst="rect">
          <a:avLst/>
        </a:prstGeom>
      </xdr:spPr>
    </xdr:pic>
    <xdr:clientData/>
  </xdr:twoCellAnchor>
  <xdr:twoCellAnchor editAs="oneCell">
    <xdr:from>
      <xdr:col>5</xdr:col>
      <xdr:colOff>477715</xdr:colOff>
      <xdr:row>7</xdr:row>
      <xdr:rowOff>81405</xdr:rowOff>
    </xdr:from>
    <xdr:to>
      <xdr:col>8</xdr:col>
      <xdr:colOff>412164</xdr:colOff>
      <xdr:row>13</xdr:row>
      <xdr:rowOff>38101</xdr:rowOff>
    </xdr:to>
    <xdr:pic>
      <xdr:nvPicPr>
        <xdr:cNvPr id="23" name="Picture 22"/>
        <xdr:cNvPicPr>
          <a:picLocks noChangeAspect="1"/>
        </xdr:cNvPicPr>
      </xdr:nvPicPr>
      <xdr:blipFill rotWithShape="1">
        <a:blip xmlns:r="http://schemas.openxmlformats.org/officeDocument/2006/relationships" r:embed="rId20">
          <a:duotone>
            <a:schemeClr val="accent5">
              <a:shade val="45000"/>
              <a:satMod val="135000"/>
            </a:schemeClr>
            <a:prstClr val="white"/>
          </a:duotone>
        </a:blip>
        <a:srcRect b="16687"/>
        <a:stretch/>
      </xdr:blipFill>
      <xdr:spPr>
        <a:xfrm>
          <a:off x="6154615" y="1986405"/>
          <a:ext cx="2287124" cy="1556896"/>
        </a:xfrm>
        <a:prstGeom prst="rect">
          <a:avLst/>
        </a:prstGeom>
      </xdr:spPr>
    </xdr:pic>
    <xdr:clientData/>
  </xdr:twoCellAnchor>
  <xdr:twoCellAnchor editAs="oneCell">
    <xdr:from>
      <xdr:col>4</xdr:col>
      <xdr:colOff>290145</xdr:colOff>
      <xdr:row>74</xdr:row>
      <xdr:rowOff>238125</xdr:rowOff>
    </xdr:from>
    <xdr:to>
      <xdr:col>13</xdr:col>
      <xdr:colOff>6379</xdr:colOff>
      <xdr:row>89</xdr:row>
      <xdr:rowOff>168062</xdr:rowOff>
    </xdr:to>
    <xdr:pic>
      <xdr:nvPicPr>
        <xdr:cNvPr id="18" name="Picture 17"/>
        <xdr:cNvPicPr>
          <a:picLocks noChangeAspect="1"/>
        </xdr:cNvPicPr>
      </xdr:nvPicPr>
      <xdr:blipFill>
        <a:blip xmlns:r="http://schemas.openxmlformats.org/officeDocument/2006/relationships" r:embed="rId21">
          <a:duotone>
            <a:schemeClr val="accent6">
              <a:shade val="45000"/>
              <a:satMod val="135000"/>
            </a:schemeClr>
            <a:prstClr val="white"/>
          </a:duotone>
        </a:blip>
        <a:stretch>
          <a:fillRect/>
        </a:stretch>
      </xdr:blipFill>
      <xdr:spPr>
        <a:xfrm>
          <a:off x="3423870" y="18916650"/>
          <a:ext cx="7583884" cy="364468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60"/>
  <sheetViews>
    <sheetView showGridLines="0" tabSelected="1" topLeftCell="A2" zoomScaleNormal="100" workbookViewId="0">
      <selection activeCell="C16" sqref="C16"/>
    </sheetView>
  </sheetViews>
  <sheetFormatPr defaultRowHeight="19.5" x14ac:dyDescent="0.25"/>
  <cols>
    <col min="1" max="1" width="9.140625" style="1"/>
    <col min="2" max="2" width="31.7109375" style="1" bestFit="1" customWidth="1"/>
    <col min="3" max="3" width="16.42578125" style="1" bestFit="1" customWidth="1"/>
    <col min="4" max="4" width="9.140625" style="1"/>
    <col min="5" max="5" width="24.7109375" style="1" bestFit="1" customWidth="1"/>
    <col min="6" max="6" width="18.140625" style="1" bestFit="1" customWidth="1"/>
    <col min="7" max="7" width="11.7109375" style="1" bestFit="1" customWidth="1"/>
    <col min="8" max="8" width="5.42578125" style="1" bestFit="1" customWidth="1"/>
    <col min="9" max="9" width="11.7109375" style="1" customWidth="1"/>
    <col min="10" max="10" width="11.5703125" style="1" customWidth="1"/>
    <col min="11" max="11" width="16.42578125" style="1" bestFit="1" customWidth="1"/>
    <col min="12" max="16384" width="9.140625" style="1"/>
  </cols>
  <sheetData>
    <row r="1" spans="1:13" ht="21" thickTop="1" thickBot="1" x14ac:dyDescent="0.3">
      <c r="I1" s="23" t="s">
        <v>80</v>
      </c>
      <c r="J1" s="24"/>
    </row>
    <row r="2" spans="1:13" ht="21" thickTop="1" thickBot="1" x14ac:dyDescent="0.3">
      <c r="I2" s="23" t="s">
        <v>61</v>
      </c>
      <c r="J2" s="24"/>
    </row>
    <row r="3" spans="1:13" ht="24" thickTop="1" thickBot="1" x14ac:dyDescent="0.3">
      <c r="C3" s="10" t="s">
        <v>78</v>
      </c>
      <c r="D3" s="9" t="s">
        <v>14</v>
      </c>
      <c r="E3" s="9" t="s">
        <v>15</v>
      </c>
      <c r="F3" s="10" t="s">
        <v>79</v>
      </c>
      <c r="H3" s="13" t="s">
        <v>60</v>
      </c>
      <c r="I3" s="14" t="s">
        <v>63</v>
      </c>
      <c r="J3" s="15" t="s">
        <v>62</v>
      </c>
      <c r="K3" s="9"/>
      <c r="L3" s="9" t="s">
        <v>14</v>
      </c>
      <c r="M3" s="9" t="s">
        <v>15</v>
      </c>
    </row>
    <row r="4" spans="1:13" ht="21" thickTop="1" thickBot="1" x14ac:dyDescent="0.3">
      <c r="B4" s="17" t="s">
        <v>0</v>
      </c>
      <c r="C4" s="18" t="s">
        <v>90</v>
      </c>
      <c r="D4" s="9">
        <f>LOOKUP(C4,K4:K8,L4:L8)</f>
        <v>200</v>
      </c>
      <c r="E4" s="9">
        <f>LOOKUP(C4,K4:K8,M4:M8)</f>
        <v>300</v>
      </c>
      <c r="F4" s="16" t="str">
        <f>IF(H4&lt;=J4,"در محدوده مجاز می باشد","در محدوده مجاز نمی باشد")</f>
        <v>در محدوده مجاز می باشد</v>
      </c>
      <c r="G4" s="11" t="s">
        <v>68</v>
      </c>
      <c r="H4" s="12">
        <f>C45</f>
        <v>0.96779443146260891</v>
      </c>
      <c r="I4" s="20">
        <f>C11*100/360</f>
        <v>2.0833333333333335</v>
      </c>
      <c r="J4" s="12">
        <f>C11*100/180</f>
        <v>4.166666666666667</v>
      </c>
      <c r="K4" s="9" t="s">
        <v>13</v>
      </c>
      <c r="L4" s="9">
        <v>150</v>
      </c>
      <c r="M4" s="9">
        <v>250</v>
      </c>
    </row>
    <row r="5" spans="1:13" ht="21" thickTop="1" thickBot="1" x14ac:dyDescent="0.3">
      <c r="B5" s="17" t="s">
        <v>1</v>
      </c>
      <c r="C5" s="18" t="s">
        <v>17</v>
      </c>
      <c r="D5" s="9">
        <f>LOOKUP(C5,K11:K12,M11:M12)</f>
        <v>2</v>
      </c>
      <c r="E5" s="9">
        <f>LOOKUP(C5,K11:K12,L11:L12)</f>
        <v>60</v>
      </c>
      <c r="F5" s="16" t="str">
        <f>IF(H5&lt;=J5,"در محدوده مجاز می باشد","در محدوده مجاز نمی باشد")</f>
        <v>در محدوده مجاز نمی باشد</v>
      </c>
      <c r="G5" s="11" t="s">
        <v>69</v>
      </c>
      <c r="H5" s="12">
        <f>F46</f>
        <v>3.4295480053851151</v>
      </c>
      <c r="I5" s="20">
        <f>C11*100/480</f>
        <v>1.5625</v>
      </c>
      <c r="J5" s="12">
        <f>C11*100/240</f>
        <v>3.125</v>
      </c>
      <c r="K5" s="9" t="s">
        <v>12</v>
      </c>
      <c r="L5" s="9">
        <v>220</v>
      </c>
      <c r="M5" s="9">
        <v>150</v>
      </c>
    </row>
    <row r="6" spans="1:13" ht="21" thickTop="1" thickBot="1" x14ac:dyDescent="0.3">
      <c r="A6" s="9">
        <f>C6+C7</f>
        <v>30</v>
      </c>
      <c r="B6" s="17" t="s">
        <v>2</v>
      </c>
      <c r="C6" s="18">
        <v>25</v>
      </c>
      <c r="D6" s="3" t="s">
        <v>18</v>
      </c>
      <c r="E6" s="9"/>
      <c r="H6" s="3" t="s">
        <v>18</v>
      </c>
      <c r="I6" s="3" t="s">
        <v>18</v>
      </c>
      <c r="J6" s="3" t="s">
        <v>18</v>
      </c>
      <c r="K6" s="9" t="s">
        <v>11</v>
      </c>
      <c r="L6" s="9">
        <v>150</v>
      </c>
      <c r="M6" s="9">
        <v>400</v>
      </c>
    </row>
    <row r="7" spans="1:13" ht="21" thickTop="1" thickBot="1" x14ac:dyDescent="0.3">
      <c r="B7" s="17" t="s">
        <v>3</v>
      </c>
      <c r="C7" s="18">
        <v>5</v>
      </c>
      <c r="D7" s="3" t="s">
        <v>18</v>
      </c>
      <c r="E7" s="9">
        <f>C7*2400/100</f>
        <v>120</v>
      </c>
      <c r="K7" s="9" t="s">
        <v>90</v>
      </c>
      <c r="L7" s="9">
        <v>200</v>
      </c>
      <c r="M7" s="9">
        <v>300</v>
      </c>
    </row>
    <row r="8" spans="1:13" ht="21" thickTop="1" thickBot="1" x14ac:dyDescent="0.3">
      <c r="B8" s="17" t="s">
        <v>4</v>
      </c>
      <c r="C8" s="18">
        <v>40</v>
      </c>
      <c r="D8" s="3" t="s">
        <v>18</v>
      </c>
      <c r="E8" s="9"/>
      <c r="K8" s="9" t="s">
        <v>10</v>
      </c>
      <c r="L8" s="9">
        <v>250</v>
      </c>
      <c r="M8" s="9">
        <v>200</v>
      </c>
    </row>
    <row r="9" spans="1:13" ht="21" thickTop="1" thickBot="1" x14ac:dyDescent="0.3">
      <c r="B9" s="17" t="s">
        <v>5</v>
      </c>
      <c r="C9" s="18" t="s">
        <v>20</v>
      </c>
      <c r="D9" s="1">
        <f>LOOKUP(C9,K14:K15,L14:L15)</f>
        <v>0</v>
      </c>
      <c r="E9" s="9"/>
    </row>
    <row r="10" spans="1:13" ht="21" thickTop="1" thickBot="1" x14ac:dyDescent="0.3">
      <c r="B10" s="17" t="s">
        <v>26</v>
      </c>
      <c r="C10" s="18">
        <v>10</v>
      </c>
      <c r="D10" s="3" t="s">
        <v>18</v>
      </c>
      <c r="E10" s="9">
        <f>C10*D5</f>
        <v>20</v>
      </c>
    </row>
    <row r="11" spans="1:13" ht="21" thickTop="1" thickBot="1" x14ac:dyDescent="0.3">
      <c r="B11" s="17" t="s">
        <v>6</v>
      </c>
      <c r="C11" s="18">
        <v>7.5</v>
      </c>
      <c r="D11" s="3" t="s">
        <v>21</v>
      </c>
      <c r="K11" s="9" t="s">
        <v>16</v>
      </c>
      <c r="L11" s="9">
        <f>(C8+C10)/1</f>
        <v>50</v>
      </c>
      <c r="M11" s="9">
        <v>1</v>
      </c>
    </row>
    <row r="12" spans="1:13" ht="21" thickTop="1" thickBot="1" x14ac:dyDescent="0.3">
      <c r="B12" s="17" t="s">
        <v>7</v>
      </c>
      <c r="C12" s="18">
        <v>210</v>
      </c>
      <c r="D12" s="3" t="s">
        <v>22</v>
      </c>
      <c r="K12" s="9" t="s">
        <v>17</v>
      </c>
      <c r="L12" s="9">
        <f>(C8+2*C10)/1</f>
        <v>60</v>
      </c>
      <c r="M12" s="9">
        <v>2</v>
      </c>
    </row>
    <row r="13" spans="1:13" ht="21" thickTop="1" thickBot="1" x14ac:dyDescent="0.3">
      <c r="B13" s="17" t="s">
        <v>8</v>
      </c>
      <c r="C13" s="18">
        <v>3000</v>
      </c>
      <c r="D13" s="3" t="s">
        <v>22</v>
      </c>
      <c r="E13" s="19" t="s">
        <v>83</v>
      </c>
      <c r="K13" s="9"/>
      <c r="L13" s="9"/>
      <c r="M13" s="9"/>
    </row>
    <row r="14" spans="1:13" ht="21" thickTop="1" thickBot="1" x14ac:dyDescent="0.3">
      <c r="A14" s="3" t="s">
        <v>44</v>
      </c>
      <c r="B14" s="17" t="s">
        <v>88</v>
      </c>
      <c r="C14" s="18">
        <v>5.53</v>
      </c>
      <c r="D14" s="3" t="s">
        <v>23</v>
      </c>
      <c r="E14" s="21">
        <f>C60</f>
        <v>3.3460376532399305</v>
      </c>
      <c r="F14" s="22" t="s">
        <v>23</v>
      </c>
      <c r="G14" s="3" t="s">
        <v>91</v>
      </c>
      <c r="K14" s="9" t="s">
        <v>19</v>
      </c>
      <c r="L14" s="9">
        <v>100</v>
      </c>
      <c r="M14" s="9"/>
    </row>
    <row r="15" spans="1:13" ht="21" thickTop="1" thickBot="1" x14ac:dyDescent="0.3">
      <c r="A15" s="3" t="s">
        <v>45</v>
      </c>
      <c r="B15" s="17" t="s">
        <v>89</v>
      </c>
      <c r="C15" s="18">
        <v>1.1299999999999999</v>
      </c>
      <c r="D15" s="3" t="s">
        <v>23</v>
      </c>
      <c r="E15" s="9">
        <f>D5*C15+2*D16</f>
        <v>3.2648000000000001</v>
      </c>
      <c r="K15" s="9" t="s">
        <v>20</v>
      </c>
      <c r="L15" s="9">
        <v>0</v>
      </c>
      <c r="M15" s="9"/>
    </row>
    <row r="16" spans="1:13" ht="21" thickTop="1" thickBot="1" x14ac:dyDescent="0.3">
      <c r="B16" s="17" t="s">
        <v>9</v>
      </c>
      <c r="C16" s="18">
        <v>8</v>
      </c>
      <c r="D16" s="9">
        <f>C16^2*3.14*0.25*10^-2</f>
        <v>0.50240000000000007</v>
      </c>
    </row>
    <row r="17" spans="1:11" ht="20.25" thickTop="1" x14ac:dyDescent="0.25">
      <c r="K17" s="1">
        <v>6</v>
      </c>
    </row>
    <row r="18" spans="1:11" x14ac:dyDescent="0.25">
      <c r="K18" s="1">
        <v>8</v>
      </c>
    </row>
    <row r="19" spans="1:11" x14ac:dyDescent="0.25">
      <c r="A19" s="1" t="s">
        <v>25</v>
      </c>
      <c r="B19" s="3" t="s">
        <v>24</v>
      </c>
      <c r="C19" s="4">
        <f>((E7+D9+(D5*C10*C6*2400*10^-4)/(E5*10^-2))+D4)*E5/100</f>
        <v>312</v>
      </c>
      <c r="D19" s="3" t="s">
        <v>27</v>
      </c>
      <c r="K19" s="1">
        <v>10</v>
      </c>
    </row>
    <row r="20" spans="1:11" x14ac:dyDescent="0.25">
      <c r="B20" s="3" t="s">
        <v>28</v>
      </c>
      <c r="C20" s="4">
        <f>C19*C11^2/8</f>
        <v>2193.75</v>
      </c>
      <c r="D20" s="3" t="s">
        <v>30</v>
      </c>
    </row>
    <row r="21" spans="1:11" x14ac:dyDescent="0.25">
      <c r="B21" s="3" t="s">
        <v>29</v>
      </c>
      <c r="C21" s="4">
        <f>(E4*E5/100)*C11^2/8</f>
        <v>1265.625</v>
      </c>
      <c r="D21" s="3" t="s">
        <v>30</v>
      </c>
    </row>
    <row r="22" spans="1:11" x14ac:dyDescent="0.25">
      <c r="B22" s="3" t="s">
        <v>31</v>
      </c>
      <c r="C22" s="4">
        <f>C20+C21</f>
        <v>3459.375</v>
      </c>
      <c r="D22" s="3" t="s">
        <v>30</v>
      </c>
    </row>
    <row r="23" spans="1:11" x14ac:dyDescent="0.25">
      <c r="B23" s="3" t="s">
        <v>81</v>
      </c>
      <c r="C23" s="4">
        <f>C20+0.3*C21</f>
        <v>2573.4375</v>
      </c>
      <c r="D23" s="3" t="s">
        <v>30</v>
      </c>
    </row>
    <row r="24" spans="1:11" x14ac:dyDescent="0.25">
      <c r="B24" s="3" t="s">
        <v>32</v>
      </c>
      <c r="C24" s="4">
        <f>0.25*7.5*C12^0.5</f>
        <v>27.171331399105195</v>
      </c>
      <c r="D24" s="3" t="s">
        <v>22</v>
      </c>
    </row>
    <row r="25" spans="1:11" x14ac:dyDescent="0.25">
      <c r="B25" s="3" t="s">
        <v>33</v>
      </c>
      <c r="C25" s="4">
        <f>0.256*57000*(C12)^0.5</f>
        <v>211458.16948039629</v>
      </c>
      <c r="D25" s="3" t="s">
        <v>22</v>
      </c>
    </row>
    <row r="26" spans="1:11" x14ac:dyDescent="0.25">
      <c r="B26" s="3" t="s">
        <v>34</v>
      </c>
      <c r="C26" s="5">
        <f>2000000/C25</f>
        <v>9.4581354076528807</v>
      </c>
    </row>
    <row r="27" spans="1:11" x14ac:dyDescent="0.25">
      <c r="B27" s="3" t="s">
        <v>35</v>
      </c>
      <c r="C27" s="4">
        <f>(D5*C10*C6^3/12)+H27*(C6+0.5*C7-C28)^2+(E5*C7^3/12)+H28*(C28-0.5*C6)^2</f>
        <v>80104.166666666672</v>
      </c>
      <c r="D27" s="3" t="s">
        <v>36</v>
      </c>
      <c r="F27" s="1" t="s">
        <v>39</v>
      </c>
      <c r="G27" s="1" t="s">
        <v>38</v>
      </c>
      <c r="H27" s="1">
        <f>D5*C6*C10</f>
        <v>500</v>
      </c>
    </row>
    <row r="28" spans="1:11" x14ac:dyDescent="0.25">
      <c r="B28" s="2" t="s">
        <v>37</v>
      </c>
      <c r="C28" s="4">
        <f>(H27*0.5*C6+H28*(0.5*C7+C6))/H29</f>
        <v>18.125</v>
      </c>
      <c r="D28" s="3" t="s">
        <v>41</v>
      </c>
      <c r="F28" s="1" t="s">
        <v>40</v>
      </c>
      <c r="G28" s="1" t="s">
        <v>38</v>
      </c>
      <c r="H28" s="1">
        <f>C7*E5</f>
        <v>300</v>
      </c>
    </row>
    <row r="29" spans="1:11" x14ac:dyDescent="0.25">
      <c r="B29" s="3" t="s">
        <v>42</v>
      </c>
      <c r="C29" s="6">
        <f>E10/(C26*C14)</f>
        <v>0.38238366994646711</v>
      </c>
      <c r="F29" s="1" t="s">
        <v>25</v>
      </c>
      <c r="G29" s="1" t="s">
        <v>38</v>
      </c>
      <c r="H29" s="1">
        <f>SUM(H27:H28)</f>
        <v>800</v>
      </c>
    </row>
    <row r="30" spans="1:11" x14ac:dyDescent="0.25">
      <c r="B30" s="3" t="s">
        <v>43</v>
      </c>
      <c r="C30" s="6">
        <f>(C26-1)*E15/(C26*C14)</f>
        <v>0.52795943655338173</v>
      </c>
    </row>
    <row r="31" spans="1:11" x14ac:dyDescent="0.25">
      <c r="B31" s="3" t="s">
        <v>75</v>
      </c>
      <c r="C31" s="5">
        <f>C54</f>
        <v>8.2678519533833761</v>
      </c>
      <c r="D31" s="3" t="s">
        <v>41</v>
      </c>
    </row>
    <row r="32" spans="1:11" x14ac:dyDescent="0.25">
      <c r="B32" s="3" t="s">
        <v>46</v>
      </c>
      <c r="C32" s="1">
        <f>C6+2.3</f>
        <v>27.3</v>
      </c>
      <c r="D32" s="3" t="s">
        <v>41</v>
      </c>
    </row>
    <row r="33" spans="1:6" x14ac:dyDescent="0.25">
      <c r="A33" s="4"/>
      <c r="B33" s="3" t="s">
        <v>47</v>
      </c>
      <c r="C33" s="4">
        <f>(E5-E10)*C7^3/12+E10*(C31)^3*0.333+(E5-E10)*C7*(C31-0.5*C7)^2+C50*(C32-C31)^2+C51*(C31-C55)^2</f>
        <v>49581.395476881873</v>
      </c>
      <c r="D33" s="3" t="s">
        <v>36</v>
      </c>
    </row>
    <row r="34" spans="1:6" x14ac:dyDescent="0.25">
      <c r="B34" s="3" t="s">
        <v>48</v>
      </c>
      <c r="C34" s="6">
        <f>C27/C33</f>
        <v>1.6156093610559334</v>
      </c>
    </row>
    <row r="35" spans="1:6" x14ac:dyDescent="0.25">
      <c r="B35" s="3" t="s">
        <v>49</v>
      </c>
      <c r="C35" s="4">
        <f>C24*C27/C28/100</f>
        <v>1200.8479221788448</v>
      </c>
      <c r="D35" s="3" t="s">
        <v>30</v>
      </c>
    </row>
    <row r="36" spans="1:6" x14ac:dyDescent="0.25">
      <c r="B36" s="3" t="s">
        <v>50</v>
      </c>
      <c r="C36" s="5">
        <f>C35/C20</f>
        <v>0.54739506424106887</v>
      </c>
    </row>
    <row r="37" spans="1:6" x14ac:dyDescent="0.25">
      <c r="B37" s="3" t="s">
        <v>51</v>
      </c>
      <c r="C37" s="5">
        <f>(C35/C23)^3</f>
        <v>0.10160688969081878</v>
      </c>
    </row>
    <row r="38" spans="1:6" x14ac:dyDescent="0.25">
      <c r="B38" s="3" t="s">
        <v>52</v>
      </c>
      <c r="C38" s="7">
        <f>C37*C27+(1-C37)*C33</f>
        <v>52682.719322220437</v>
      </c>
      <c r="D38" s="4">
        <f>MIN(C38,C27)</f>
        <v>52682.719322220437</v>
      </c>
    </row>
    <row r="39" spans="1:6" x14ac:dyDescent="0.25">
      <c r="B39" s="3" t="s">
        <v>53</v>
      </c>
      <c r="C39" s="7">
        <f>C36*C27+(1-C36)*C33</f>
        <v>66289.409773129562</v>
      </c>
      <c r="D39" s="4">
        <f>MIN(C39,C27)</f>
        <v>66289.409773129562</v>
      </c>
    </row>
    <row r="40" spans="1:6" x14ac:dyDescent="0.25">
      <c r="B40" s="3" t="s">
        <v>54</v>
      </c>
      <c r="C40" s="5">
        <f>(C35/C22)^3</f>
        <v>4.1828385812944791E-2</v>
      </c>
    </row>
    <row r="41" spans="1:6" x14ac:dyDescent="0.25">
      <c r="B41" s="3" t="s">
        <v>55</v>
      </c>
      <c r="C41" s="7">
        <f>C40*C27+(1-C40)*C33</f>
        <v>50858.113726288429</v>
      </c>
      <c r="D41" s="4">
        <f>MIN(C41,C27)</f>
        <v>50858.113726288429</v>
      </c>
    </row>
    <row r="42" spans="1:6" x14ac:dyDescent="0.25">
      <c r="A42" s="5">
        <f>(5/384)*(C19*10^-2)*(C11*100)^4/(C25*D39)</f>
        <v>0.91700099527128398</v>
      </c>
      <c r="B42" s="3" t="s">
        <v>56</v>
      </c>
      <c r="C42" s="5">
        <f>5/48*C20*100*(C11*100)^2/(C25*D39)</f>
        <v>0.91700099527128398</v>
      </c>
      <c r="D42" s="3" t="s">
        <v>18</v>
      </c>
    </row>
    <row r="43" spans="1:6" x14ac:dyDescent="0.25">
      <c r="B43" s="3" t="s">
        <v>57</v>
      </c>
      <c r="C43" s="5">
        <f>5/48*C22*100*(C11*100)^2/(C25*D41)</f>
        <v>1.8847954267338929</v>
      </c>
      <c r="D43" s="3" t="s">
        <v>18</v>
      </c>
    </row>
    <row r="44" spans="1:6" x14ac:dyDescent="0.25">
      <c r="B44" s="3" t="s">
        <v>59</v>
      </c>
      <c r="C44" s="5">
        <f>5/48*C23*100*(C11*100)^2/(C25*D38)</f>
        <v>1.3535436530806395</v>
      </c>
      <c r="D44" s="3" t="s">
        <v>18</v>
      </c>
    </row>
    <row r="45" spans="1:6" x14ac:dyDescent="0.25">
      <c r="B45" s="3" t="s">
        <v>58</v>
      </c>
      <c r="C45" s="5">
        <f>C43-C42</f>
        <v>0.96779443146260891</v>
      </c>
      <c r="D45" s="3" t="s">
        <v>18</v>
      </c>
      <c r="E45" s="3" t="s">
        <v>82</v>
      </c>
      <c r="F45" s="3" t="s">
        <v>67</v>
      </c>
    </row>
    <row r="46" spans="1:6" x14ac:dyDescent="0.25">
      <c r="A46" s="3" t="s">
        <v>65</v>
      </c>
      <c r="B46" s="2" t="s">
        <v>64</v>
      </c>
      <c r="C46" s="5">
        <f>2/(1+50*C48)</f>
        <v>1.8187470853412093</v>
      </c>
      <c r="D46" s="3"/>
      <c r="E46" s="5">
        <f>C46*C44</f>
        <v>2.4617535739225063</v>
      </c>
      <c r="F46" s="5">
        <f>E46+C45</f>
        <v>3.4295480053851151</v>
      </c>
    </row>
    <row r="47" spans="1:6" x14ac:dyDescent="0.25">
      <c r="A47" s="3" t="s">
        <v>77</v>
      </c>
      <c r="B47" s="2" t="s">
        <v>64</v>
      </c>
      <c r="C47" s="5">
        <f>1/(1+50*C48)</f>
        <v>0.90937354267060466</v>
      </c>
      <c r="E47" s="5">
        <f>C47*C44</f>
        <v>1.2308767869612531</v>
      </c>
      <c r="F47" s="5">
        <f>E47+C45</f>
        <v>2.1986712184238622</v>
      </c>
    </row>
    <row r="48" spans="1:6" x14ac:dyDescent="0.25">
      <c r="B48" s="3" t="s">
        <v>66</v>
      </c>
      <c r="C48" s="8">
        <f>E15/(E5*C32)</f>
        <v>1.9931623931623934E-3</v>
      </c>
    </row>
    <row r="49" spans="2:4" x14ac:dyDescent="0.25">
      <c r="B49" s="3" t="s">
        <v>70</v>
      </c>
    </row>
    <row r="50" spans="2:4" x14ac:dyDescent="0.25">
      <c r="B50" s="3" t="s">
        <v>71</v>
      </c>
      <c r="C50" s="5">
        <f>C14*C26*D5</f>
        <v>104.60697760864086</v>
      </c>
    </row>
    <row r="51" spans="2:4" x14ac:dyDescent="0.25">
      <c r="B51" s="3" t="s">
        <v>72</v>
      </c>
      <c r="C51" s="5">
        <f>(C26-1)*((D5*C15)+2*D16)</f>
        <v>27.614120478905125</v>
      </c>
    </row>
    <row r="52" spans="2:4" x14ac:dyDescent="0.25">
      <c r="B52" s="3" t="s">
        <v>73</v>
      </c>
      <c r="C52" s="5">
        <f>E10/(C26*C14*D5)</f>
        <v>0.19119183497323355</v>
      </c>
    </row>
    <row r="53" spans="2:4" x14ac:dyDescent="0.25">
      <c r="B53" s="3" t="s">
        <v>74</v>
      </c>
      <c r="C53" s="5">
        <f>C7*(E5-E10)/(C26*C14*D5)</f>
        <v>1.9119183497323355</v>
      </c>
    </row>
    <row r="54" spans="2:4" x14ac:dyDescent="0.25">
      <c r="B54" s="3" t="s">
        <v>75</v>
      </c>
      <c r="C54" s="5">
        <f>((C52*(2*C32+C7*C53+2*C56*C55)+(C53+C56+1)^2)^0.5-(C53+C56+1))/C52</f>
        <v>8.2678519533833761</v>
      </c>
      <c r="D54" s="3" t="s">
        <v>18</v>
      </c>
    </row>
    <row r="55" spans="2:4" x14ac:dyDescent="0.25">
      <c r="B55" s="3" t="s">
        <v>76</v>
      </c>
      <c r="C55" s="5">
        <f>A6-C32</f>
        <v>2.6999999999999993</v>
      </c>
    </row>
    <row r="56" spans="2:4" x14ac:dyDescent="0.25">
      <c r="B56" s="3" t="s">
        <v>43</v>
      </c>
      <c r="C56" s="5">
        <f>C51/C50</f>
        <v>0.26397971827669087</v>
      </c>
    </row>
    <row r="57" spans="2:4" x14ac:dyDescent="0.25">
      <c r="B57" s="3" t="s">
        <v>84</v>
      </c>
      <c r="C57" s="5">
        <f>D5*C14*C13/(0.85*E5*C12)</f>
        <v>3.0980392156862746</v>
      </c>
    </row>
    <row r="58" spans="2:4" x14ac:dyDescent="0.25">
      <c r="B58" s="3" t="s">
        <v>86</v>
      </c>
      <c r="C58" s="4">
        <f>0.9*C14*D5*C13*(C32-0.5*C57)/100</f>
        <v>7689.7577647058824</v>
      </c>
    </row>
    <row r="59" spans="2:4" x14ac:dyDescent="0.25">
      <c r="B59" s="3" t="s">
        <v>85</v>
      </c>
      <c r="C59" s="4">
        <f>1.2*C20+1.6*C21</f>
        <v>4657.5</v>
      </c>
      <c r="D59" s="3" t="s">
        <v>30</v>
      </c>
    </row>
    <row r="60" spans="2:4" x14ac:dyDescent="0.25">
      <c r="B60" s="3" t="s">
        <v>87</v>
      </c>
      <c r="C60" s="5">
        <f>((1.11*C59*100/(C13*(C32-0.5*C57))))/D5</f>
        <v>3.3460376532399305</v>
      </c>
    </row>
  </sheetData>
  <sheetProtection algorithmName="SHA-512" hashValue="EFOprZNFFlL/AIzXYJUGJYMjUrNw3uIsYRSlQQq0tfY60XKsy4XbIdO+BI59aYzXZSIF+gtJKucCai+2wP49HA==" saltValue="tJD+VzTrzKDDjgk9JaNyIg==" spinCount="100000" sheet="1" objects="1" scenarios="1" selectLockedCells="1"/>
  <mergeCells count="2">
    <mergeCell ref="I2:J2"/>
    <mergeCell ref="I1:J1"/>
  </mergeCells>
  <dataValidations count="4">
    <dataValidation type="list" allowBlank="1" showInputMessage="1" showErrorMessage="1" sqref="C4">
      <formula1>$K$4:$K$8</formula1>
    </dataValidation>
    <dataValidation type="list" allowBlank="1" showInputMessage="1" showErrorMessage="1" sqref="C5">
      <formula1>$K$11:$K$12</formula1>
    </dataValidation>
    <dataValidation type="list" allowBlank="1" showInputMessage="1" showErrorMessage="1" sqref="C9">
      <formula1>$K$14:$K$15</formula1>
    </dataValidation>
    <dataValidation type="list" allowBlank="1" showInputMessage="1" showErrorMessage="1" sqref="C16">
      <formula1>$K$17:$K$19</formula1>
    </dataValidation>
  </dataValidations>
  <pageMargins left="0.7" right="0.7" top="0.75" bottom="0.75" header="0.3" footer="0.3"/>
  <pageSetup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N.S</dc:creator>
  <cp:lastModifiedBy>N.S</cp:lastModifiedBy>
  <dcterms:created xsi:type="dcterms:W3CDTF">2019-03-24T05:01:08Z</dcterms:created>
  <dcterms:modified xsi:type="dcterms:W3CDTF">2019-04-07T16:47:34Z</dcterms:modified>
</cp:coreProperties>
</file>