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S\Desktop\"/>
    </mc:Choice>
  </mc:AlternateContent>
  <bookViews>
    <workbookView xWindow="0" yWindow="0" windowWidth="20490" windowHeight="7455"/>
  </bookViews>
  <sheets>
    <sheet name="5 TON" sheetId="1" r:id="rId1"/>
    <sheet name="10 TON" sheetId="2" r:id="rId2"/>
    <sheet name="20 TON" sheetId="4" r:id="rId3"/>
    <sheet name="Bracket &amp; Runway Beam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5" l="1"/>
  <c r="H8" i="5"/>
  <c r="D16" i="5" s="1"/>
  <c r="O8" i="5"/>
  <c r="O7" i="5"/>
  <c r="O6" i="5"/>
  <c r="G8" i="5"/>
  <c r="D32" i="5" s="1"/>
  <c r="N8" i="5"/>
  <c r="N7" i="5"/>
  <c r="N6" i="5"/>
  <c r="D28" i="5"/>
  <c r="D35" i="5" s="1"/>
  <c r="D34" i="5" s="1"/>
  <c r="D36" i="5" s="1"/>
  <c r="M7" i="5"/>
  <c r="M6" i="5"/>
  <c r="D23" i="5"/>
  <c r="D22" i="5" s="1"/>
  <c r="D24" i="5" s="1"/>
  <c r="B16" i="5" l="1"/>
  <c r="D26" i="5"/>
  <c r="D29" i="5"/>
  <c r="D15" i="5" s="1"/>
  <c r="B15" i="4"/>
  <c r="B16" i="4"/>
  <c r="B14" i="4"/>
  <c r="D15" i="4" s="1"/>
  <c r="D17" i="4" s="1"/>
  <c r="N11" i="4"/>
  <c r="F4" i="4" s="1"/>
  <c r="D20" i="4" s="1"/>
  <c r="F25" i="4" s="1"/>
  <c r="M11" i="4"/>
  <c r="E4" i="4" s="1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F21" i="4" l="1"/>
  <c r="E25" i="4"/>
  <c r="D25" i="4" s="1"/>
  <c r="B3" i="4" s="1"/>
  <c r="E21" i="4"/>
  <c r="D14" i="4"/>
  <c r="D16" i="4" s="1"/>
  <c r="B15" i="2"/>
  <c r="B16" i="2"/>
  <c r="B14" i="2"/>
  <c r="D14" i="2" s="1"/>
  <c r="D16" i="2" s="1"/>
  <c r="N11" i="2"/>
  <c r="M11" i="2"/>
  <c r="E4" i="2" s="1"/>
  <c r="N10" i="2"/>
  <c r="M10" i="2"/>
  <c r="N9" i="2"/>
  <c r="M9" i="2"/>
  <c r="N8" i="2"/>
  <c r="F4" i="2" s="1"/>
  <c r="D20" i="2" s="1"/>
  <c r="M8" i="2"/>
  <c r="N7" i="2"/>
  <c r="M7" i="2"/>
  <c r="N6" i="2"/>
  <c r="M6" i="2"/>
  <c r="N5" i="2"/>
  <c r="M5" i="2"/>
  <c r="N4" i="2"/>
  <c r="M4" i="2"/>
  <c r="E25" i="2" l="1"/>
  <c r="F21" i="2"/>
  <c r="F25" i="2"/>
  <c r="E21" i="2"/>
  <c r="D21" i="2" s="1"/>
  <c r="E23" i="2" s="1"/>
  <c r="D23" i="2" s="1"/>
  <c r="D8" i="4"/>
  <c r="D9" i="4"/>
  <c r="D21" i="4"/>
  <c r="E23" i="4" s="1"/>
  <c r="D23" i="4" s="1"/>
  <c r="D15" i="2"/>
  <c r="D17" i="2" s="1"/>
  <c r="D25" i="2"/>
  <c r="B3" i="2" s="1"/>
  <c r="B14" i="1"/>
  <c r="B16" i="1"/>
  <c r="B15" i="1"/>
  <c r="D9" i="2" l="1"/>
  <c r="D8" i="2"/>
  <c r="B10" i="4"/>
  <c r="A3" i="4"/>
  <c r="B10" i="2"/>
  <c r="A3" i="2"/>
  <c r="D15" i="1"/>
  <c r="D17" i="1" s="1"/>
  <c r="D14" i="1"/>
  <c r="D16" i="1" s="1"/>
  <c r="E4" i="1"/>
  <c r="N5" i="1"/>
  <c r="N6" i="1"/>
  <c r="N7" i="1"/>
  <c r="N8" i="1"/>
  <c r="N9" i="1"/>
  <c r="N10" i="1"/>
  <c r="N11" i="1"/>
  <c r="F4" i="1" s="1"/>
  <c r="D20" i="1" s="1"/>
  <c r="N4" i="1"/>
  <c r="M5" i="1"/>
  <c r="M6" i="1"/>
  <c r="M7" i="1"/>
  <c r="M8" i="1"/>
  <c r="M9" i="1"/>
  <c r="M10" i="1"/>
  <c r="M11" i="1"/>
  <c r="M4" i="1"/>
  <c r="D7" i="2" l="1"/>
  <c r="D6" i="2"/>
  <c r="D7" i="4"/>
  <c r="D6" i="4"/>
  <c r="M8" i="5" s="1"/>
  <c r="F8" i="5" s="1"/>
  <c r="E25" i="1"/>
  <c r="D25" i="1" s="1"/>
  <c r="B3" i="1" s="1"/>
  <c r="E21" i="1"/>
  <c r="D21" i="1" s="1"/>
  <c r="E23" i="1" s="1"/>
  <c r="D23" i="1" s="1"/>
  <c r="B10" i="1" s="1"/>
  <c r="D11" i="1" s="1"/>
  <c r="D13" i="1" s="1"/>
  <c r="F21" i="1"/>
  <c r="F25" i="1"/>
  <c r="D11" i="4"/>
  <c r="D13" i="4" s="1"/>
  <c r="D10" i="4"/>
  <c r="D12" i="4" s="1"/>
  <c r="D10" i="2"/>
  <c r="D12" i="2" s="1"/>
  <c r="D11" i="2"/>
  <c r="D13" i="2" s="1"/>
  <c r="D9" i="5" l="1"/>
  <c r="D8" i="1"/>
  <c r="D9" i="1"/>
  <c r="D10" i="1"/>
  <c r="D12" i="1" s="1"/>
  <c r="A3" i="1"/>
  <c r="D30" i="5" l="1"/>
  <c r="B15" i="5" s="1"/>
  <c r="B17" i="5" s="1"/>
  <c r="B18" i="5" s="1"/>
  <c r="B9" i="5"/>
  <c r="B10" i="5" s="1"/>
  <c r="D7" i="1"/>
  <c r="D6" i="1"/>
</calcChain>
</file>

<file path=xl/comments1.xml><?xml version="1.0" encoding="utf-8"?>
<comments xmlns="http://schemas.openxmlformats.org/spreadsheetml/2006/main">
  <authors>
    <author>N.S</author>
  </authors>
  <commentList>
    <comment ref="D3" authorId="0" shapeId="0">
      <text>
        <r>
          <rPr>
            <i/>
            <sz val="10"/>
            <color indexed="81"/>
            <rFont val="Times New Roman"/>
            <family val="1"/>
          </rPr>
          <t>if crane is in service no need to combinate crane load with seismic effects in load combinations</t>
        </r>
      </text>
    </comment>
  </commentList>
</comments>
</file>

<file path=xl/comments2.xml><?xml version="1.0" encoding="utf-8"?>
<comments xmlns="http://schemas.openxmlformats.org/spreadsheetml/2006/main">
  <authors>
    <author>N.S</author>
  </authors>
  <commentList>
    <comment ref="D3" authorId="0" shapeId="0">
      <text>
        <r>
          <rPr>
            <i/>
            <sz val="10"/>
            <color indexed="81"/>
            <rFont val="Times New Roman"/>
            <family val="1"/>
          </rPr>
          <t>if crane is in service no need to combinate crane load with seismic effects in load combinations</t>
        </r>
      </text>
    </comment>
  </commentList>
</comments>
</file>

<file path=xl/comments3.xml><?xml version="1.0" encoding="utf-8"?>
<comments xmlns="http://schemas.openxmlformats.org/spreadsheetml/2006/main">
  <authors>
    <author>N.S</author>
  </authors>
  <commentList>
    <comment ref="D3" authorId="0" shapeId="0">
      <text>
        <r>
          <rPr>
            <i/>
            <sz val="10"/>
            <color indexed="81"/>
            <rFont val="Times New Roman"/>
            <family val="1"/>
          </rPr>
          <t>if crane is in service no need to combinate crane load with seismic effects in load combinations</t>
        </r>
      </text>
    </comment>
  </commentList>
</comments>
</file>

<file path=xl/sharedStrings.xml><?xml version="1.0" encoding="utf-8"?>
<sst xmlns="http://schemas.openxmlformats.org/spreadsheetml/2006/main" count="224" uniqueCount="70">
  <si>
    <t>MWL</t>
  </si>
  <si>
    <t>Crane W</t>
  </si>
  <si>
    <t>Span</t>
  </si>
  <si>
    <t>R1</t>
  </si>
  <si>
    <t>R2</t>
  </si>
  <si>
    <t>R3</t>
  </si>
  <si>
    <t>R4</t>
  </si>
  <si>
    <t>Htr1</t>
  </si>
  <si>
    <t>Htr2</t>
  </si>
  <si>
    <t>Htr3</t>
  </si>
  <si>
    <t>Htr4</t>
  </si>
  <si>
    <t>Hs1</t>
  </si>
  <si>
    <t>Hs2</t>
  </si>
  <si>
    <t>Hs3</t>
  </si>
  <si>
    <t>Hs4</t>
  </si>
  <si>
    <t>Pbr</t>
  </si>
  <si>
    <t>P-max-c</t>
  </si>
  <si>
    <t>Wth</t>
  </si>
  <si>
    <t>Wbr</t>
  </si>
  <si>
    <t>P-max</t>
  </si>
  <si>
    <t>Smin</t>
  </si>
  <si>
    <t>P-min</t>
  </si>
  <si>
    <t>m</t>
  </si>
  <si>
    <t>S</t>
  </si>
  <si>
    <t>Rsw</t>
  </si>
  <si>
    <t>Htr</t>
  </si>
  <si>
    <t>Hs</t>
  </si>
  <si>
    <t>Kg</t>
  </si>
  <si>
    <t>Z Direction</t>
  </si>
  <si>
    <t>Y Direction</t>
  </si>
  <si>
    <t>X Direction</t>
  </si>
  <si>
    <t>Ipnput</t>
  </si>
  <si>
    <t>frame spacing</t>
  </si>
  <si>
    <t>no</t>
  </si>
  <si>
    <t>yes</t>
  </si>
  <si>
    <t>in service</t>
  </si>
  <si>
    <t>Span (m)</t>
  </si>
  <si>
    <t>5 TON</t>
  </si>
  <si>
    <t>10 TON</t>
  </si>
  <si>
    <t>20 TON</t>
  </si>
  <si>
    <t>flange</t>
  </si>
  <si>
    <t>web</t>
  </si>
  <si>
    <t>thickness</t>
  </si>
  <si>
    <t>width</t>
  </si>
  <si>
    <t>eccentricity</t>
  </si>
  <si>
    <t>cm</t>
  </si>
  <si>
    <t>Length</t>
  </si>
  <si>
    <t>Z</t>
  </si>
  <si>
    <t>Y</t>
  </si>
  <si>
    <t>cm^3</t>
  </si>
  <si>
    <t>Crane capacity</t>
  </si>
  <si>
    <t>TON</t>
  </si>
  <si>
    <t>Mu</t>
  </si>
  <si>
    <t>D/C</t>
  </si>
  <si>
    <t>FEE*Mn</t>
  </si>
  <si>
    <t>Kg.cm</t>
  </si>
  <si>
    <t>Bracket</t>
  </si>
  <si>
    <t>Runway</t>
  </si>
  <si>
    <t>bracket</t>
  </si>
  <si>
    <t>runway</t>
  </si>
  <si>
    <t>A</t>
  </si>
  <si>
    <t>W beam</t>
  </si>
  <si>
    <t>Kg/m</t>
  </si>
  <si>
    <t>R left</t>
  </si>
  <si>
    <t>Mw load</t>
  </si>
  <si>
    <t>Muv</t>
  </si>
  <si>
    <t>Muh</t>
  </si>
  <si>
    <t>strong</t>
  </si>
  <si>
    <t>weak</t>
  </si>
  <si>
    <t>D/C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</si>
</sst>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B Lotus"/>
      <charset val="178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0"/>
      <name val="Times New Roman"/>
      <family val="1"/>
    </font>
    <font>
      <sz val="11"/>
      <color theme="0" tint="-0.34998626667073579"/>
      <name val="B Lotus"/>
      <charset val="178"/>
    </font>
    <font>
      <i/>
      <sz val="11"/>
      <color theme="0" tint="-0.34998626667073579"/>
      <name val="Times New Roman"/>
      <family val="1"/>
    </font>
    <font>
      <sz val="11"/>
      <color theme="0" tint="-4.9989318521683403E-2"/>
      <name val="B Lotus"/>
      <charset val="178"/>
    </font>
    <font>
      <i/>
      <sz val="11"/>
      <color theme="0" tint="-4.9989318521683403E-2"/>
      <name val="Times New Roman"/>
      <family val="1"/>
    </font>
    <font>
      <i/>
      <sz val="10"/>
      <color indexed="81"/>
      <name val="Times New Roman"/>
      <family val="1"/>
    </font>
    <font>
      <i/>
      <sz val="20"/>
      <color theme="1"/>
      <name val="Times New Roman"/>
      <family val="1"/>
    </font>
    <font>
      <sz val="11"/>
      <name val="B Lotus"/>
      <charset val="178"/>
    </font>
    <font>
      <sz val="11"/>
      <color theme="0" tint="-0.249977111117893"/>
      <name val="B Lotus"/>
      <charset val="178"/>
    </font>
    <font>
      <i/>
      <sz val="11"/>
      <color theme="0" tint="-0.249977111117893"/>
      <name val="Times New Roman"/>
      <family val="1"/>
    </font>
    <font>
      <i/>
      <sz val="11"/>
      <color theme="2" tint="-0.249977111117893"/>
      <name val="Times New Roman"/>
      <family val="1"/>
    </font>
    <font>
      <i/>
      <sz val="1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" fontId="5" fillId="0" borderId="0" xfId="0" applyNumberFormat="1" applyFont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" fontId="6" fillId="0" borderId="0" xfId="0" applyNumberFormat="1" applyFont="1" applyAlignment="1" applyProtection="1">
      <alignment horizontal="center" vertical="center"/>
    </xf>
    <xf numFmtId="1" fontId="7" fillId="0" borderId="0" xfId="0" applyNumberFormat="1" applyFont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4" fillId="3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" fontId="12" fillId="0" borderId="0" xfId="0" applyNumberFormat="1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3" fillId="6" borderId="0" xfId="0" applyNumberFormat="1" applyFont="1" applyFill="1" applyAlignment="1" applyProtection="1">
      <alignment horizontal="center" vertical="center"/>
    </xf>
    <xf numFmtId="0" fontId="2" fillId="7" borderId="0" xfId="0" applyFont="1" applyFill="1" applyAlignment="1" applyProtection="1">
      <alignment horizontal="center" vertical="center" textRotation="90"/>
    </xf>
    <xf numFmtId="0" fontId="2" fillId="6" borderId="0" xfId="0" applyFont="1" applyFill="1" applyAlignment="1" applyProtection="1">
      <alignment horizontal="center" vertical="center" textRotation="90"/>
    </xf>
    <xf numFmtId="0" fontId="3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5" fillId="9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/>
    </xf>
    <xf numFmtId="1" fontId="14" fillId="0" borderId="0" xfId="0" applyNumberFormat="1" applyFont="1" applyAlignment="1" applyProtection="1">
      <alignment horizontal="center"/>
    </xf>
    <xf numFmtId="0" fontId="3" fillId="10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1" fontId="3" fillId="11" borderId="1" xfId="0" applyNumberFormat="1" applyFont="1" applyFill="1" applyBorder="1" applyAlignment="1" applyProtection="1">
      <alignment horizontal="center"/>
    </xf>
    <xf numFmtId="0" fontId="3" fillId="11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5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4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38100</xdr:rowOff>
    </xdr:from>
    <xdr:to>
      <xdr:col>8</xdr:col>
      <xdr:colOff>65838</xdr:colOff>
      <xdr:row>48</xdr:row>
      <xdr:rowOff>94202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44025"/>
          <a:ext cx="5295063" cy="3027902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48</xdr:row>
      <xdr:rowOff>66675</xdr:rowOff>
    </xdr:from>
    <xdr:to>
      <xdr:col>23</xdr:col>
      <xdr:colOff>113132</xdr:colOff>
      <xdr:row>70</xdr:row>
      <xdr:rowOff>189804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2075" y="12239625"/>
          <a:ext cx="9342857" cy="5571429"/>
        </a:xfrm>
        <a:prstGeom prst="rect">
          <a:avLst/>
        </a:prstGeom>
      </xdr:spPr>
    </xdr:pic>
    <xdr:clientData/>
  </xdr:twoCellAnchor>
  <xdr:twoCellAnchor editAs="oneCell">
    <xdr:from>
      <xdr:col>14</xdr:col>
      <xdr:colOff>171450</xdr:colOff>
      <xdr:row>28</xdr:row>
      <xdr:rowOff>90541</xdr:rowOff>
    </xdr:from>
    <xdr:to>
      <xdr:col>21</xdr:col>
      <xdr:colOff>494457</xdr:colOff>
      <xdr:row>35</xdr:row>
      <xdr:rowOff>113977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86800" y="7310491"/>
          <a:ext cx="4590207" cy="1756986"/>
        </a:xfrm>
        <a:prstGeom prst="rect">
          <a:avLst/>
        </a:prstGeom>
      </xdr:spPr>
    </xdr:pic>
    <xdr:clientData/>
  </xdr:twoCellAnchor>
  <xdr:twoCellAnchor editAs="oneCell">
    <xdr:from>
      <xdr:col>8</xdr:col>
      <xdr:colOff>140668</xdr:colOff>
      <xdr:row>19</xdr:row>
      <xdr:rowOff>95250</xdr:rowOff>
    </xdr:from>
    <xdr:to>
      <xdr:col>18</xdr:col>
      <xdr:colOff>56107</xdr:colOff>
      <xdr:row>27</xdr:row>
      <xdr:rowOff>104431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12693" y="4800600"/>
          <a:ext cx="6040014" cy="1990381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51</xdr:row>
      <xdr:rowOff>142875</xdr:rowOff>
    </xdr:from>
    <xdr:to>
      <xdr:col>16</xdr:col>
      <xdr:colOff>599095</xdr:colOff>
      <xdr:row>57</xdr:row>
      <xdr:rowOff>181218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52875" y="13077825"/>
          <a:ext cx="6780820" cy="1524243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30</xdr:row>
      <xdr:rowOff>38100</xdr:rowOff>
    </xdr:from>
    <xdr:to>
      <xdr:col>8</xdr:col>
      <xdr:colOff>297180</xdr:colOff>
      <xdr:row>44</xdr:row>
      <xdr:rowOff>27940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6" cstate="print">
          <a:duotone>
            <a:schemeClr val="accent5">
              <a:shade val="45000"/>
              <a:satMod val="135000"/>
            </a:schemeClr>
            <a:prstClr val="white"/>
          </a:duotone>
        </a:blip>
        <a:srcRect l="1255"/>
        <a:stretch/>
      </xdr:blipFill>
      <xdr:spPr bwMode="auto">
        <a:xfrm>
          <a:off x="2438400" y="7467600"/>
          <a:ext cx="2716530" cy="34569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571500</xdr:colOff>
      <xdr:row>35</xdr:row>
      <xdr:rowOff>209550</xdr:rowOff>
    </xdr:from>
    <xdr:to>
      <xdr:col>16</xdr:col>
      <xdr:colOff>170180</xdr:colOff>
      <xdr:row>40</xdr:row>
      <xdr:rowOff>227965</xdr:rowOff>
    </xdr:to>
    <xdr:pic>
      <xdr:nvPicPr>
        <xdr:cNvPr id="8" name="Picture 7"/>
        <xdr:cNvPicPr/>
      </xdr:nvPicPr>
      <xdr:blipFill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191125" y="9182100"/>
          <a:ext cx="5113655" cy="1256665"/>
        </a:xfrm>
        <a:prstGeom prst="rect">
          <a:avLst/>
        </a:prstGeom>
      </xdr:spPr>
    </xdr:pic>
    <xdr:clientData/>
  </xdr:twoCellAnchor>
  <xdr:twoCellAnchor editAs="oneCell">
    <xdr:from>
      <xdr:col>11</xdr:col>
      <xdr:colOff>581025</xdr:colOff>
      <xdr:row>43</xdr:row>
      <xdr:rowOff>0</xdr:rowOff>
    </xdr:from>
    <xdr:to>
      <xdr:col>18</xdr:col>
      <xdr:colOff>601345</xdr:colOff>
      <xdr:row>49</xdr:row>
      <xdr:rowOff>239395</xdr:rowOff>
    </xdr:to>
    <xdr:pic>
      <xdr:nvPicPr>
        <xdr:cNvPr id="9" name="Picture 8" descr="C:\Users\ALAVI\AppData\Local\Temp\SNAGHTML1216f1c.PNG"/>
        <xdr:cNvPicPr/>
      </xdr:nvPicPr>
      <xdr:blipFill>
        <a:blip xmlns:r="http://schemas.openxmlformats.org/officeDocument/2006/relationships" r:embed="rId8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0953750"/>
          <a:ext cx="4287520" cy="17252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495301</xdr:colOff>
      <xdr:row>2</xdr:row>
      <xdr:rowOff>38100</xdr:rowOff>
    </xdr:from>
    <xdr:to>
      <xdr:col>10</xdr:col>
      <xdr:colOff>323644</xdr:colOff>
      <xdr:row>3</xdr:row>
      <xdr:rowOff>103536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t="66429"/>
        <a:stretch/>
      </xdr:blipFill>
      <xdr:spPr>
        <a:xfrm>
          <a:off x="4505326" y="542925"/>
          <a:ext cx="2295318" cy="332136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3</xdr:row>
      <xdr:rowOff>0</xdr:rowOff>
    </xdr:from>
    <xdr:to>
      <xdr:col>1</xdr:col>
      <xdr:colOff>9525</xdr:colOff>
      <xdr:row>4</xdr:row>
      <xdr:rowOff>123825</xdr:rowOff>
    </xdr:to>
    <xdr:sp macro="" textlink="">
      <xdr:nvSpPr>
        <xdr:cNvPr id="11" name="Right Arrow 10"/>
        <xdr:cNvSpPr/>
      </xdr:nvSpPr>
      <xdr:spPr>
        <a:xfrm>
          <a:off x="133350" y="771525"/>
          <a:ext cx="485775" cy="3905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514350</xdr:colOff>
      <xdr:row>3</xdr:row>
      <xdr:rowOff>95250</xdr:rowOff>
    </xdr:from>
    <xdr:to>
      <xdr:col>10</xdr:col>
      <xdr:colOff>294994</xdr:colOff>
      <xdr:row>4</xdr:row>
      <xdr:rowOff>238074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524375" y="866775"/>
          <a:ext cx="2247619" cy="409524"/>
        </a:xfrm>
        <a:prstGeom prst="rect">
          <a:avLst/>
        </a:prstGeom>
      </xdr:spPr>
    </xdr:pic>
    <xdr:clientData/>
  </xdr:twoCellAnchor>
  <xdr:twoCellAnchor editAs="oneCell">
    <xdr:from>
      <xdr:col>10</xdr:col>
      <xdr:colOff>295275</xdr:colOff>
      <xdr:row>0</xdr:row>
      <xdr:rowOff>0</xdr:rowOff>
    </xdr:from>
    <xdr:to>
      <xdr:col>17</xdr:col>
      <xdr:colOff>330422</xdr:colOff>
      <xdr:row>9</xdr:row>
      <xdr:rowOff>28027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0"/>
          <a:ext cx="4302347" cy="248547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030" name="AutoShape 6" descr="[Photo]"/>
        <xdr:cNvSpPr>
          <a:spLocks noChangeAspect="1" noChangeArrowheads="1"/>
        </xdr:cNvSpPr>
      </xdr:nvSpPr>
      <xdr:spPr bwMode="auto">
        <a:xfrm>
          <a:off x="4010025" y="10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104774</xdr:colOff>
      <xdr:row>7</xdr:row>
      <xdr:rowOff>49223</xdr:rowOff>
    </xdr:from>
    <xdr:to>
      <xdr:col>11</xdr:col>
      <xdr:colOff>418574</xdr:colOff>
      <xdr:row>8</xdr:row>
      <xdr:rowOff>28537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114799" y="1973273"/>
          <a:ext cx="3390375" cy="2460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29</xdr:row>
      <xdr:rowOff>19050</xdr:rowOff>
    </xdr:from>
    <xdr:to>
      <xdr:col>19</xdr:col>
      <xdr:colOff>599238</xdr:colOff>
      <xdr:row>41</xdr:row>
      <xdr:rowOff>75152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0" y="7591425"/>
          <a:ext cx="5295063" cy="3027902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48</xdr:row>
      <xdr:rowOff>66675</xdr:rowOff>
    </xdr:from>
    <xdr:to>
      <xdr:col>23</xdr:col>
      <xdr:colOff>141707</xdr:colOff>
      <xdr:row>70</xdr:row>
      <xdr:rowOff>189804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2075" y="12344400"/>
          <a:ext cx="9342857" cy="5571429"/>
        </a:xfrm>
        <a:prstGeom prst="rect">
          <a:avLst/>
        </a:prstGeom>
      </xdr:spPr>
    </xdr:pic>
    <xdr:clientData/>
  </xdr:twoCellAnchor>
  <xdr:twoCellAnchor editAs="oneCell">
    <xdr:from>
      <xdr:col>14</xdr:col>
      <xdr:colOff>171450</xdr:colOff>
      <xdr:row>28</xdr:row>
      <xdr:rowOff>90541</xdr:rowOff>
    </xdr:from>
    <xdr:to>
      <xdr:col>21</xdr:col>
      <xdr:colOff>494457</xdr:colOff>
      <xdr:row>35</xdr:row>
      <xdr:rowOff>113977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8275" y="7415266"/>
          <a:ext cx="4590207" cy="1756986"/>
        </a:xfrm>
        <a:prstGeom prst="rect">
          <a:avLst/>
        </a:prstGeom>
      </xdr:spPr>
    </xdr:pic>
    <xdr:clientData/>
  </xdr:twoCellAnchor>
  <xdr:twoCellAnchor editAs="oneCell">
    <xdr:from>
      <xdr:col>8</xdr:col>
      <xdr:colOff>140668</xdr:colOff>
      <xdr:row>19</xdr:row>
      <xdr:rowOff>95250</xdr:rowOff>
    </xdr:from>
    <xdr:to>
      <xdr:col>18</xdr:col>
      <xdr:colOff>84682</xdr:colOff>
      <xdr:row>27</xdr:row>
      <xdr:rowOff>104431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69893" y="5191125"/>
          <a:ext cx="6040014" cy="1990381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51</xdr:row>
      <xdr:rowOff>142875</xdr:rowOff>
    </xdr:from>
    <xdr:to>
      <xdr:col>17</xdr:col>
      <xdr:colOff>18070</xdr:colOff>
      <xdr:row>57</xdr:row>
      <xdr:rowOff>181218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52875" y="13163550"/>
          <a:ext cx="6780820" cy="1524243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30</xdr:row>
      <xdr:rowOff>38100</xdr:rowOff>
    </xdr:from>
    <xdr:to>
      <xdr:col>8</xdr:col>
      <xdr:colOff>297180</xdr:colOff>
      <xdr:row>44</xdr:row>
      <xdr:rowOff>27940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6" cstate="print">
          <a:duotone>
            <a:schemeClr val="accent5">
              <a:shade val="45000"/>
              <a:satMod val="135000"/>
            </a:schemeClr>
            <a:prstClr val="white"/>
          </a:duotone>
        </a:blip>
        <a:srcRect l="1255"/>
        <a:stretch/>
      </xdr:blipFill>
      <xdr:spPr bwMode="auto">
        <a:xfrm>
          <a:off x="2809875" y="7858125"/>
          <a:ext cx="2716530" cy="34569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571500</xdr:colOff>
      <xdr:row>35</xdr:row>
      <xdr:rowOff>209550</xdr:rowOff>
    </xdr:from>
    <xdr:to>
      <xdr:col>16</xdr:col>
      <xdr:colOff>198755</xdr:colOff>
      <xdr:row>40</xdr:row>
      <xdr:rowOff>227965</xdr:rowOff>
    </xdr:to>
    <xdr:pic>
      <xdr:nvPicPr>
        <xdr:cNvPr id="8" name="Picture 7"/>
        <xdr:cNvPicPr/>
      </xdr:nvPicPr>
      <xdr:blipFill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191125" y="9267825"/>
          <a:ext cx="5113655" cy="1256665"/>
        </a:xfrm>
        <a:prstGeom prst="rect">
          <a:avLst/>
        </a:prstGeom>
      </xdr:spPr>
    </xdr:pic>
    <xdr:clientData/>
  </xdr:twoCellAnchor>
  <xdr:twoCellAnchor editAs="oneCell">
    <xdr:from>
      <xdr:col>11</xdr:col>
      <xdr:colOff>581025</xdr:colOff>
      <xdr:row>43</xdr:row>
      <xdr:rowOff>0</xdr:rowOff>
    </xdr:from>
    <xdr:to>
      <xdr:col>18</xdr:col>
      <xdr:colOff>601345</xdr:colOff>
      <xdr:row>49</xdr:row>
      <xdr:rowOff>239395</xdr:rowOff>
    </xdr:to>
    <xdr:pic>
      <xdr:nvPicPr>
        <xdr:cNvPr id="9" name="Picture 8" descr="C:\Users\ALAVI\AppData\Local\Temp\SNAGHTML1216f1c.PNG"/>
        <xdr:cNvPicPr/>
      </xdr:nvPicPr>
      <xdr:blipFill>
        <a:blip xmlns:r="http://schemas.openxmlformats.org/officeDocument/2006/relationships" r:embed="rId8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1039475"/>
          <a:ext cx="4287520" cy="17252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342901</xdr:colOff>
      <xdr:row>2</xdr:row>
      <xdr:rowOff>0</xdr:rowOff>
    </xdr:from>
    <xdr:to>
      <xdr:col>10</xdr:col>
      <xdr:colOff>199819</xdr:colOff>
      <xdr:row>3</xdr:row>
      <xdr:rowOff>65436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t="66429"/>
        <a:stretch/>
      </xdr:blipFill>
      <xdr:spPr>
        <a:xfrm>
          <a:off x="4352926" y="590550"/>
          <a:ext cx="2295318" cy="332136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3</xdr:row>
      <xdr:rowOff>0</xdr:rowOff>
    </xdr:from>
    <xdr:to>
      <xdr:col>1</xdr:col>
      <xdr:colOff>9525</xdr:colOff>
      <xdr:row>4</xdr:row>
      <xdr:rowOff>123825</xdr:rowOff>
    </xdr:to>
    <xdr:sp macro="" textlink="">
      <xdr:nvSpPr>
        <xdr:cNvPr id="11" name="Right Arrow 10"/>
        <xdr:cNvSpPr/>
      </xdr:nvSpPr>
      <xdr:spPr>
        <a:xfrm>
          <a:off x="133350" y="857250"/>
          <a:ext cx="485775" cy="3905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352425</xdr:colOff>
      <xdr:row>3</xdr:row>
      <xdr:rowOff>85725</xdr:rowOff>
    </xdr:from>
    <xdr:to>
      <xdr:col>10</xdr:col>
      <xdr:colOff>161644</xdr:colOff>
      <xdr:row>4</xdr:row>
      <xdr:rowOff>228549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362450" y="942975"/>
          <a:ext cx="2247619" cy="409524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161925</xdr:colOff>
      <xdr:row>0</xdr:row>
      <xdr:rowOff>0</xdr:rowOff>
    </xdr:from>
    <xdr:to>
      <xdr:col>17</xdr:col>
      <xdr:colOff>197072</xdr:colOff>
      <xdr:row>9</xdr:row>
      <xdr:rowOff>28027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0"/>
          <a:ext cx="4302347" cy="248547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4" name="AutoShape 6" descr="[Photo]"/>
        <xdr:cNvSpPr>
          <a:spLocks noChangeAspect="1" noChangeArrowheads="1"/>
        </xdr:cNvSpPr>
      </xdr:nvSpPr>
      <xdr:spPr bwMode="auto">
        <a:xfrm>
          <a:off x="4010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161925</xdr:colOff>
      <xdr:row>23</xdr:row>
      <xdr:rowOff>123825</xdr:rowOff>
    </xdr:from>
    <xdr:to>
      <xdr:col>19</xdr:col>
      <xdr:colOff>446725</xdr:colOff>
      <xdr:row>31</xdr:row>
      <xdr:rowOff>247387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781550" y="6210300"/>
          <a:ext cx="7600000" cy="21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29</xdr:row>
      <xdr:rowOff>19050</xdr:rowOff>
    </xdr:from>
    <xdr:to>
      <xdr:col>19</xdr:col>
      <xdr:colOff>599238</xdr:colOff>
      <xdr:row>41</xdr:row>
      <xdr:rowOff>75152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0" y="7591425"/>
          <a:ext cx="5295063" cy="3027902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48</xdr:row>
      <xdr:rowOff>66675</xdr:rowOff>
    </xdr:from>
    <xdr:to>
      <xdr:col>23</xdr:col>
      <xdr:colOff>141707</xdr:colOff>
      <xdr:row>70</xdr:row>
      <xdr:rowOff>189804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2075" y="12344400"/>
          <a:ext cx="9342857" cy="5571429"/>
        </a:xfrm>
        <a:prstGeom prst="rect">
          <a:avLst/>
        </a:prstGeom>
      </xdr:spPr>
    </xdr:pic>
    <xdr:clientData/>
  </xdr:twoCellAnchor>
  <xdr:twoCellAnchor editAs="oneCell">
    <xdr:from>
      <xdr:col>14</xdr:col>
      <xdr:colOff>171450</xdr:colOff>
      <xdr:row>28</xdr:row>
      <xdr:rowOff>90541</xdr:rowOff>
    </xdr:from>
    <xdr:to>
      <xdr:col>21</xdr:col>
      <xdr:colOff>494457</xdr:colOff>
      <xdr:row>35</xdr:row>
      <xdr:rowOff>113977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8275" y="7415266"/>
          <a:ext cx="4590207" cy="1756986"/>
        </a:xfrm>
        <a:prstGeom prst="rect">
          <a:avLst/>
        </a:prstGeom>
      </xdr:spPr>
    </xdr:pic>
    <xdr:clientData/>
  </xdr:twoCellAnchor>
  <xdr:twoCellAnchor editAs="oneCell">
    <xdr:from>
      <xdr:col>8</xdr:col>
      <xdr:colOff>140668</xdr:colOff>
      <xdr:row>19</xdr:row>
      <xdr:rowOff>95250</xdr:rowOff>
    </xdr:from>
    <xdr:to>
      <xdr:col>18</xdr:col>
      <xdr:colOff>84682</xdr:colOff>
      <xdr:row>27</xdr:row>
      <xdr:rowOff>104431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69893" y="5191125"/>
          <a:ext cx="6040014" cy="1990381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51</xdr:row>
      <xdr:rowOff>142875</xdr:rowOff>
    </xdr:from>
    <xdr:to>
      <xdr:col>17</xdr:col>
      <xdr:colOff>18070</xdr:colOff>
      <xdr:row>57</xdr:row>
      <xdr:rowOff>181218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52875" y="13163550"/>
          <a:ext cx="6780820" cy="1524243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30</xdr:row>
      <xdr:rowOff>38100</xdr:rowOff>
    </xdr:from>
    <xdr:to>
      <xdr:col>8</xdr:col>
      <xdr:colOff>297180</xdr:colOff>
      <xdr:row>44</xdr:row>
      <xdr:rowOff>27940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6" cstate="print">
          <a:duotone>
            <a:schemeClr val="accent5">
              <a:shade val="45000"/>
              <a:satMod val="135000"/>
            </a:schemeClr>
            <a:prstClr val="white"/>
          </a:duotone>
        </a:blip>
        <a:srcRect l="1255"/>
        <a:stretch/>
      </xdr:blipFill>
      <xdr:spPr bwMode="auto">
        <a:xfrm>
          <a:off x="2809875" y="7858125"/>
          <a:ext cx="2716530" cy="34569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571500</xdr:colOff>
      <xdr:row>35</xdr:row>
      <xdr:rowOff>209550</xdr:rowOff>
    </xdr:from>
    <xdr:to>
      <xdr:col>16</xdr:col>
      <xdr:colOff>198755</xdr:colOff>
      <xdr:row>40</xdr:row>
      <xdr:rowOff>227965</xdr:rowOff>
    </xdr:to>
    <xdr:pic>
      <xdr:nvPicPr>
        <xdr:cNvPr id="8" name="Picture 7"/>
        <xdr:cNvPicPr/>
      </xdr:nvPicPr>
      <xdr:blipFill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191125" y="9267825"/>
          <a:ext cx="5113655" cy="1256665"/>
        </a:xfrm>
        <a:prstGeom prst="rect">
          <a:avLst/>
        </a:prstGeom>
      </xdr:spPr>
    </xdr:pic>
    <xdr:clientData/>
  </xdr:twoCellAnchor>
  <xdr:twoCellAnchor editAs="oneCell">
    <xdr:from>
      <xdr:col>11</xdr:col>
      <xdr:colOff>581025</xdr:colOff>
      <xdr:row>43</xdr:row>
      <xdr:rowOff>0</xdr:rowOff>
    </xdr:from>
    <xdr:to>
      <xdr:col>18</xdr:col>
      <xdr:colOff>601345</xdr:colOff>
      <xdr:row>49</xdr:row>
      <xdr:rowOff>239395</xdr:rowOff>
    </xdr:to>
    <xdr:pic>
      <xdr:nvPicPr>
        <xdr:cNvPr id="9" name="Picture 8" descr="C:\Users\ALAVI\AppData\Local\Temp\SNAGHTML1216f1c.PNG"/>
        <xdr:cNvPicPr/>
      </xdr:nvPicPr>
      <xdr:blipFill>
        <a:blip xmlns:r="http://schemas.openxmlformats.org/officeDocument/2006/relationships" r:embed="rId8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1039475"/>
          <a:ext cx="4287520" cy="17252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428626</xdr:colOff>
      <xdr:row>1</xdr:row>
      <xdr:rowOff>295275</xdr:rowOff>
    </xdr:from>
    <xdr:to>
      <xdr:col>10</xdr:col>
      <xdr:colOff>285544</xdr:colOff>
      <xdr:row>3</xdr:row>
      <xdr:rowOff>17811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t="66429"/>
        <a:stretch/>
      </xdr:blipFill>
      <xdr:spPr>
        <a:xfrm>
          <a:off x="4438651" y="542925"/>
          <a:ext cx="2295318" cy="332136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3</xdr:row>
      <xdr:rowOff>0</xdr:rowOff>
    </xdr:from>
    <xdr:to>
      <xdr:col>1</xdr:col>
      <xdr:colOff>9525</xdr:colOff>
      <xdr:row>4</xdr:row>
      <xdr:rowOff>123825</xdr:rowOff>
    </xdr:to>
    <xdr:sp macro="" textlink="">
      <xdr:nvSpPr>
        <xdr:cNvPr id="11" name="Right Arrow 10"/>
        <xdr:cNvSpPr/>
      </xdr:nvSpPr>
      <xdr:spPr>
        <a:xfrm>
          <a:off x="133350" y="857250"/>
          <a:ext cx="485775" cy="3905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400050</xdr:colOff>
      <xdr:row>3</xdr:row>
      <xdr:rowOff>28575</xdr:rowOff>
    </xdr:from>
    <xdr:to>
      <xdr:col>10</xdr:col>
      <xdr:colOff>209269</xdr:colOff>
      <xdr:row>4</xdr:row>
      <xdr:rowOff>171399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410075" y="885825"/>
          <a:ext cx="2247619" cy="40952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4" name="AutoShape 6" descr="[Photo]"/>
        <xdr:cNvSpPr>
          <a:spLocks noChangeAspect="1" noChangeArrowheads="1"/>
        </xdr:cNvSpPr>
      </xdr:nvSpPr>
      <xdr:spPr bwMode="auto">
        <a:xfrm>
          <a:off x="4010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323850</xdr:colOff>
      <xdr:row>31</xdr:row>
      <xdr:rowOff>123825</xdr:rowOff>
    </xdr:from>
    <xdr:to>
      <xdr:col>21</xdr:col>
      <xdr:colOff>598669</xdr:colOff>
      <xdr:row>39</xdr:row>
      <xdr:rowOff>104530</xdr:rowOff>
    </xdr:to>
    <xdr:pic>
      <xdr:nvPicPr>
        <xdr:cNvPr id="16" name="Picture 15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-254" t="-1456" r="254" b="1456"/>
        <a:stretch/>
      </xdr:blipFill>
      <xdr:spPr>
        <a:xfrm>
          <a:off x="2505075" y="8191500"/>
          <a:ext cx="11247619" cy="1961905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238124</xdr:colOff>
      <xdr:row>0</xdr:row>
      <xdr:rowOff>0</xdr:rowOff>
    </xdr:from>
    <xdr:to>
      <xdr:col>15</xdr:col>
      <xdr:colOff>419785</xdr:colOff>
      <xdr:row>8</xdr:row>
      <xdr:rowOff>219074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49" y="0"/>
          <a:ext cx="3229661" cy="24098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599378</xdr:colOff>
      <xdr:row>0</xdr:row>
      <xdr:rowOff>47625</xdr:rowOff>
    </xdr:from>
    <xdr:to>
      <xdr:col>11</xdr:col>
      <xdr:colOff>400050</xdr:colOff>
      <xdr:row>16</xdr:row>
      <xdr:rowOff>34871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548"/>
        <a:stretch/>
      </xdr:blipFill>
      <xdr:spPr>
        <a:xfrm>
          <a:off x="4409378" y="47625"/>
          <a:ext cx="3458272" cy="3863921"/>
        </a:xfrm>
        <a:prstGeom prst="rect">
          <a:avLst/>
        </a:prstGeom>
      </xdr:spPr>
    </xdr:pic>
    <xdr:clientData/>
  </xdr:twoCellAnchor>
  <xdr:twoCellAnchor editAs="oneCell">
    <xdr:from>
      <xdr:col>5</xdr:col>
      <xdr:colOff>2299</xdr:colOff>
      <xdr:row>35</xdr:row>
      <xdr:rowOff>89338</xdr:rowOff>
    </xdr:from>
    <xdr:to>
      <xdr:col>22</xdr:col>
      <xdr:colOff>285730</xdr:colOff>
      <xdr:row>39</xdr:row>
      <xdr:rowOff>127338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0374" y="6756838"/>
          <a:ext cx="10646631" cy="8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145502</xdr:rowOff>
    </xdr:from>
    <xdr:to>
      <xdr:col>9</xdr:col>
      <xdr:colOff>99053</xdr:colOff>
      <xdr:row>56</xdr:row>
      <xdr:rowOff>97502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70352"/>
          <a:ext cx="6347453" cy="30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266042</xdr:colOff>
      <xdr:row>40</xdr:row>
      <xdr:rowOff>40727</xdr:rowOff>
    </xdr:from>
    <xdr:to>
      <xdr:col>16</xdr:col>
      <xdr:colOff>578808</xdr:colOff>
      <xdr:row>52</xdr:row>
      <xdr:rowOff>21394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52517" y="8365577"/>
          <a:ext cx="4579966" cy="22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7"/>
  <sheetViews>
    <sheetView showGridLines="0" tabSelected="1" workbookViewId="0">
      <selection activeCell="D3" sqref="D3"/>
    </sheetView>
  </sheetViews>
  <sheetFormatPr defaultRowHeight="19.5" x14ac:dyDescent="0.25"/>
  <cols>
    <col min="1" max="2" width="9.140625" style="4"/>
    <col min="3" max="3" width="14.42578125" style="4" bestFit="1" customWidth="1"/>
    <col min="4" max="8" width="9.140625" style="4"/>
    <col min="9" max="9" width="9.5703125" style="4" bestFit="1" customWidth="1"/>
    <col min="10" max="16384" width="9.140625" style="4"/>
  </cols>
  <sheetData>
    <row r="2" spans="1:14" ht="27" thickBot="1" x14ac:dyDescent="0.3">
      <c r="A2" s="3" t="s">
        <v>19</v>
      </c>
      <c r="B2" s="3" t="s">
        <v>21</v>
      </c>
      <c r="E2" s="5"/>
      <c r="F2" s="3" t="s">
        <v>18</v>
      </c>
      <c r="I2" s="6" t="s">
        <v>37</v>
      </c>
    </row>
    <row r="3" spans="1:14" ht="21" thickTop="1" thickBot="1" x14ac:dyDescent="0.3">
      <c r="A3" s="7">
        <f>D23</f>
        <v>4076.7958333333336</v>
      </c>
      <c r="B3" s="7">
        <f>D25</f>
        <v>1510.1291666666668</v>
      </c>
      <c r="C3" s="8" t="s">
        <v>35</v>
      </c>
      <c r="D3" s="23" t="s">
        <v>34</v>
      </c>
      <c r="E3" s="3" t="s">
        <v>0</v>
      </c>
      <c r="F3" s="3" t="s">
        <v>1</v>
      </c>
      <c r="H3" s="3" t="s">
        <v>33</v>
      </c>
      <c r="J3" s="10"/>
      <c r="K3" s="10"/>
      <c r="L3" s="11" t="s">
        <v>2</v>
      </c>
      <c r="M3" s="11" t="s">
        <v>0</v>
      </c>
      <c r="N3" s="11" t="s">
        <v>1</v>
      </c>
    </row>
    <row r="4" spans="1:14" ht="21" thickTop="1" thickBot="1" x14ac:dyDescent="0.3">
      <c r="B4" s="12" t="s">
        <v>31</v>
      </c>
      <c r="C4" s="13" t="s">
        <v>36</v>
      </c>
      <c r="D4" s="1">
        <v>21</v>
      </c>
      <c r="E4" s="14">
        <f>LOOKUP(D4,L4:L11,M4:M11)</f>
        <v>3944.85</v>
      </c>
      <c r="F4" s="14">
        <f>LOOKUP(D4,L4:L11,N4:N11)</f>
        <v>5673.85</v>
      </c>
      <c r="H4" s="3" t="s">
        <v>34</v>
      </c>
      <c r="J4" s="10">
        <v>8120</v>
      </c>
      <c r="K4" s="10">
        <v>7850</v>
      </c>
      <c r="L4" s="10">
        <v>15</v>
      </c>
      <c r="M4" s="15">
        <f>K4*0.455</f>
        <v>3571.75</v>
      </c>
      <c r="N4" s="15">
        <f>J4*0.455</f>
        <v>3694.6</v>
      </c>
    </row>
    <row r="5" spans="1:14" ht="21" thickTop="1" thickBot="1" x14ac:dyDescent="0.3">
      <c r="B5" s="12" t="s">
        <v>31</v>
      </c>
      <c r="C5" s="13" t="s">
        <v>32</v>
      </c>
      <c r="D5" s="2">
        <v>6</v>
      </c>
      <c r="E5" s="12" t="s">
        <v>22</v>
      </c>
      <c r="G5" s="17"/>
      <c r="J5" s="10">
        <v>8850</v>
      </c>
      <c r="K5" s="10">
        <v>7770</v>
      </c>
      <c r="L5" s="10">
        <v>16.5</v>
      </c>
      <c r="M5" s="15">
        <f t="shared" ref="M5:M11" si="0">K5*0.455</f>
        <v>3535.35</v>
      </c>
      <c r="N5" s="15">
        <f t="shared" ref="N5:N11" si="1">J5*0.455</f>
        <v>4026.75</v>
      </c>
    </row>
    <row r="6" spans="1:14" ht="21" customHeight="1" thickTop="1" thickBot="1" x14ac:dyDescent="0.3">
      <c r="C6" s="18" t="s">
        <v>3</v>
      </c>
      <c r="D6" s="9">
        <f>1.25*A3*(1+(D5-D26)/D5)+D27</f>
        <v>9068.6584201388905</v>
      </c>
      <c r="E6" s="12" t="s">
        <v>27</v>
      </c>
      <c r="F6" s="29" t="s">
        <v>28</v>
      </c>
      <c r="I6" s="28">
        <v>43588</v>
      </c>
      <c r="J6" s="10">
        <v>10210</v>
      </c>
      <c r="K6" s="10">
        <v>8110</v>
      </c>
      <c r="L6" s="10">
        <v>18</v>
      </c>
      <c r="M6" s="15">
        <f t="shared" si="0"/>
        <v>3690.05</v>
      </c>
      <c r="N6" s="15">
        <f t="shared" si="1"/>
        <v>4645.55</v>
      </c>
    </row>
    <row r="7" spans="1:14" ht="21" thickTop="1" thickBot="1" x14ac:dyDescent="0.3">
      <c r="C7" s="18" t="s">
        <v>4</v>
      </c>
      <c r="D7" s="9">
        <f>1.25*A3*D26/D5+D27</f>
        <v>3123.3311631944448</v>
      </c>
      <c r="E7" s="12" t="s">
        <v>27</v>
      </c>
      <c r="F7" s="29"/>
      <c r="G7" s="19"/>
      <c r="J7" s="10">
        <v>11400</v>
      </c>
      <c r="K7" s="10">
        <v>8400</v>
      </c>
      <c r="L7" s="10">
        <v>19.5</v>
      </c>
      <c r="M7" s="15">
        <f t="shared" si="0"/>
        <v>3822</v>
      </c>
      <c r="N7" s="15">
        <f t="shared" si="1"/>
        <v>5187</v>
      </c>
    </row>
    <row r="8" spans="1:14" ht="21" thickTop="1" thickBot="1" x14ac:dyDescent="0.3">
      <c r="C8" s="18" t="s">
        <v>5</v>
      </c>
      <c r="D8" s="9">
        <f>1.25*B3*(1+(D5-D26)/D5)+D27</f>
        <v>3988.7973090277783</v>
      </c>
      <c r="E8" s="12" t="s">
        <v>27</v>
      </c>
      <c r="F8" s="29"/>
      <c r="J8" s="10">
        <v>12470</v>
      </c>
      <c r="K8" s="10">
        <v>8670</v>
      </c>
      <c r="L8" s="10">
        <v>21</v>
      </c>
      <c r="M8" s="15">
        <f t="shared" si="0"/>
        <v>3944.85</v>
      </c>
      <c r="N8" s="15">
        <f t="shared" si="1"/>
        <v>5673.85</v>
      </c>
    </row>
    <row r="9" spans="1:14" ht="21" thickTop="1" thickBot="1" x14ac:dyDescent="0.3">
      <c r="C9" s="18" t="s">
        <v>6</v>
      </c>
      <c r="D9" s="9">
        <f>1.25*B3*D26/D5+D27</f>
        <v>1786.5256076388891</v>
      </c>
      <c r="E9" s="12" t="s">
        <v>27</v>
      </c>
      <c r="F9" s="29"/>
      <c r="J9" s="10">
        <v>13970</v>
      </c>
      <c r="K9" s="10">
        <v>9050</v>
      </c>
      <c r="L9" s="10">
        <v>22.5</v>
      </c>
      <c r="M9" s="15">
        <f t="shared" si="0"/>
        <v>4117.75</v>
      </c>
      <c r="N9" s="15">
        <f t="shared" si="1"/>
        <v>6356.35</v>
      </c>
    </row>
    <row r="10" spans="1:14" ht="21" thickTop="1" thickBot="1" x14ac:dyDescent="0.3">
      <c r="A10" s="3" t="s">
        <v>25</v>
      </c>
      <c r="B10" s="14">
        <f>0.2*D23</f>
        <v>815.35916666666674</v>
      </c>
      <c r="C10" s="20" t="s">
        <v>7</v>
      </c>
      <c r="D10" s="9">
        <f>B10*(1+(D5-D26)/D5)</f>
        <v>1290.9853472222223</v>
      </c>
      <c r="E10" s="12" t="s">
        <v>27</v>
      </c>
      <c r="F10" s="30" t="s">
        <v>29</v>
      </c>
      <c r="J10" s="10">
        <v>15570</v>
      </c>
      <c r="K10" s="10">
        <v>9450</v>
      </c>
      <c r="L10" s="10">
        <v>24</v>
      </c>
      <c r="M10" s="15">
        <f t="shared" si="0"/>
        <v>4299.75</v>
      </c>
      <c r="N10" s="15">
        <f t="shared" si="1"/>
        <v>7084.35</v>
      </c>
    </row>
    <row r="11" spans="1:14" ht="21" thickTop="1" thickBot="1" x14ac:dyDescent="0.3">
      <c r="C11" s="20" t="s">
        <v>8</v>
      </c>
      <c r="D11" s="9">
        <f>B10*D26/D5</f>
        <v>339.73298611111113</v>
      </c>
      <c r="E11" s="12" t="s">
        <v>27</v>
      </c>
      <c r="F11" s="30"/>
      <c r="J11" s="10">
        <v>17320</v>
      </c>
      <c r="K11" s="10">
        <v>9880</v>
      </c>
      <c r="L11" s="10">
        <v>25.5</v>
      </c>
      <c r="M11" s="15">
        <f t="shared" si="0"/>
        <v>4495.4000000000005</v>
      </c>
      <c r="N11" s="15">
        <f t="shared" si="1"/>
        <v>7880.6</v>
      </c>
    </row>
    <row r="12" spans="1:14" ht="21" thickTop="1" thickBot="1" x14ac:dyDescent="0.3">
      <c r="C12" s="20" t="s">
        <v>9</v>
      </c>
      <c r="D12" s="9">
        <f>D10</f>
        <v>1290.9853472222223</v>
      </c>
      <c r="E12" s="12" t="s">
        <v>27</v>
      </c>
      <c r="F12" s="30"/>
    </row>
    <row r="13" spans="1:14" ht="21" thickTop="1" thickBot="1" x14ac:dyDescent="0.3">
      <c r="C13" s="20" t="s">
        <v>10</v>
      </c>
      <c r="D13" s="9">
        <f>D11</f>
        <v>339.73298611111113</v>
      </c>
      <c r="E13" s="12" t="s">
        <v>27</v>
      </c>
      <c r="F13" s="30"/>
    </row>
    <row r="14" spans="1:14" ht="21" thickTop="1" thickBot="1" x14ac:dyDescent="0.3">
      <c r="A14" s="3" t="s">
        <v>26</v>
      </c>
      <c r="B14" s="14">
        <f>IF(D3="YES",B15,B16)</f>
        <v>1100</v>
      </c>
      <c r="C14" s="21" t="s">
        <v>11</v>
      </c>
      <c r="D14" s="16">
        <f>B14*(1+(D5-D26)/D5)</f>
        <v>1741.6666666666667</v>
      </c>
      <c r="E14" s="12" t="s">
        <v>27</v>
      </c>
      <c r="F14" s="29" t="s">
        <v>30</v>
      </c>
    </row>
    <row r="15" spans="1:14" ht="21" thickTop="1" thickBot="1" x14ac:dyDescent="0.3">
      <c r="B15" s="14">
        <f>0.2*(5000+D22)</f>
        <v>1100</v>
      </c>
      <c r="C15" s="21" t="s">
        <v>12</v>
      </c>
      <c r="D15" s="16">
        <f>B14*D26/D5</f>
        <v>458.33333333333331</v>
      </c>
      <c r="E15" s="12" t="s">
        <v>27</v>
      </c>
      <c r="F15" s="29"/>
    </row>
    <row r="16" spans="1:14" ht="21" thickTop="1" thickBot="1" x14ac:dyDescent="0.3">
      <c r="B16" s="14">
        <f>0.2*(0+D22)</f>
        <v>100</v>
      </c>
      <c r="C16" s="21" t="s">
        <v>13</v>
      </c>
      <c r="D16" s="16">
        <f>D14</f>
        <v>1741.6666666666667</v>
      </c>
      <c r="E16" s="12" t="s">
        <v>27</v>
      </c>
      <c r="F16" s="29"/>
    </row>
    <row r="17" spans="3:6" ht="21" thickTop="1" thickBot="1" x14ac:dyDescent="0.3">
      <c r="C17" s="21" t="s">
        <v>14</v>
      </c>
      <c r="D17" s="16">
        <f>D15</f>
        <v>458.33333333333331</v>
      </c>
      <c r="E17" s="12" t="s">
        <v>27</v>
      </c>
      <c r="F17" s="29"/>
    </row>
    <row r="18" spans="3:6" ht="20.25" thickTop="1" x14ac:dyDescent="0.25">
      <c r="F18" s="19"/>
    </row>
    <row r="20" spans="3:6" x14ac:dyDescent="0.25">
      <c r="C20" s="12" t="s">
        <v>15</v>
      </c>
      <c r="D20" s="22">
        <f>F4/4</f>
        <v>1418.4625000000001</v>
      </c>
      <c r="E20" s="12"/>
      <c r="F20" s="12"/>
    </row>
    <row r="21" spans="3:6" x14ac:dyDescent="0.25">
      <c r="C21" s="12" t="s">
        <v>16</v>
      </c>
      <c r="D21" s="22">
        <f>IF(D3="yes",E21,F21)</f>
        <v>4076.7958333333336</v>
      </c>
      <c r="E21" s="12">
        <f>(((5000+500)*(D4-0.7)/D4)/2)+D20</f>
        <v>4076.7958333333336</v>
      </c>
      <c r="F21" s="12">
        <f>(((0+500)*(D4-0.7)/D4)/2)+D20</f>
        <v>1660.1291666666668</v>
      </c>
    </row>
    <row r="22" spans="3:6" x14ac:dyDescent="0.25">
      <c r="C22" s="12" t="s">
        <v>17</v>
      </c>
      <c r="D22" s="12">
        <v>500</v>
      </c>
      <c r="E22" s="12"/>
      <c r="F22" s="12"/>
    </row>
    <row r="23" spans="3:6" x14ac:dyDescent="0.25">
      <c r="C23" s="12" t="s">
        <v>19</v>
      </c>
      <c r="D23" s="22">
        <f>IF(D3="yes",E23,F21)</f>
        <v>4076.7958333333336</v>
      </c>
      <c r="E23" s="22">
        <f>MAX(D21,E4)</f>
        <v>4076.7958333333336</v>
      </c>
      <c r="F23" s="12"/>
    </row>
    <row r="24" spans="3:6" x14ac:dyDescent="0.25">
      <c r="C24" s="12" t="s">
        <v>20</v>
      </c>
      <c r="D24" s="12">
        <v>0.7</v>
      </c>
      <c r="E24" s="12"/>
      <c r="F24" s="12"/>
    </row>
    <row r="25" spans="3:6" x14ac:dyDescent="0.25">
      <c r="C25" s="12" t="s">
        <v>21</v>
      </c>
      <c r="D25" s="22">
        <f>IF(D3="yes",E25,F25)</f>
        <v>1510.1291666666668</v>
      </c>
      <c r="E25" s="12">
        <f>(((5000+500)*(0.7)/D4)/2)+D20</f>
        <v>1510.1291666666668</v>
      </c>
      <c r="F25" s="12">
        <f>(((0+500)*(0.7)/D4)/2)+D20</f>
        <v>1426.7958333333333</v>
      </c>
    </row>
    <row r="26" spans="3:6" x14ac:dyDescent="0.25">
      <c r="C26" s="12" t="s">
        <v>23</v>
      </c>
      <c r="D26" s="12">
        <v>2.5</v>
      </c>
      <c r="E26" s="12"/>
      <c r="F26" s="12"/>
    </row>
    <row r="27" spans="3:6" x14ac:dyDescent="0.25">
      <c r="C27" s="12" t="s">
        <v>24</v>
      </c>
      <c r="D27" s="12">
        <v>1000</v>
      </c>
    </row>
  </sheetData>
  <sheetProtection algorithmName="SHA-512" hashValue="6/AU+Rngd3T8y9AoeEXsS6MwO9n42l31Kl/GSEOs4P8peByf62eJiDLEUWE67p1aHUpV9OOcdnzMPRSmgEOing==" saltValue="JNrXYiIpNk1SzvO12e/QpA==" spinCount="100000" sheet="1" objects="1" scenarios="1" selectLockedCells="1"/>
  <mergeCells count="3">
    <mergeCell ref="F6:F9"/>
    <mergeCell ref="F10:F13"/>
    <mergeCell ref="F14:F17"/>
  </mergeCells>
  <dataValidations count="2">
    <dataValidation type="list" allowBlank="1" showInputMessage="1" showErrorMessage="1" sqref="D4">
      <formula1>$L$4:$L$11</formula1>
    </dataValidation>
    <dataValidation type="list" allowBlank="1" showInputMessage="1" showErrorMessage="1" sqref="D3">
      <formula1>$H$3:$H$4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7"/>
  <sheetViews>
    <sheetView showGridLines="0" workbookViewId="0">
      <selection activeCell="D3" sqref="D3"/>
    </sheetView>
  </sheetViews>
  <sheetFormatPr defaultRowHeight="19.5" x14ac:dyDescent="0.25"/>
  <cols>
    <col min="1" max="2" width="9.140625" style="4"/>
    <col min="3" max="3" width="14.42578125" style="4" bestFit="1" customWidth="1"/>
    <col min="4" max="16384" width="9.140625" style="4"/>
  </cols>
  <sheetData>
    <row r="2" spans="1:16" ht="27" thickBot="1" x14ac:dyDescent="0.3">
      <c r="A2" s="3" t="s">
        <v>19</v>
      </c>
      <c r="B2" s="3" t="s">
        <v>21</v>
      </c>
      <c r="E2" s="5"/>
      <c r="F2" s="3" t="s">
        <v>18</v>
      </c>
      <c r="I2" s="6" t="s">
        <v>38</v>
      </c>
    </row>
    <row r="3" spans="1:16" ht="21" thickTop="1" thickBot="1" x14ac:dyDescent="0.3">
      <c r="A3" s="7">
        <f>D23</f>
        <v>7924.3196078431374</v>
      </c>
      <c r="B3" s="7">
        <f>D25</f>
        <v>2726.2803921568629</v>
      </c>
      <c r="C3" s="8" t="s">
        <v>35</v>
      </c>
      <c r="D3" s="23" t="s">
        <v>34</v>
      </c>
      <c r="E3" s="3" t="s">
        <v>0</v>
      </c>
      <c r="F3" s="3" t="s">
        <v>1</v>
      </c>
      <c r="H3" s="3" t="s">
        <v>33</v>
      </c>
      <c r="J3" s="5"/>
      <c r="K3" s="5"/>
      <c r="L3" s="3" t="s">
        <v>2</v>
      </c>
      <c r="M3" s="3" t="s">
        <v>0</v>
      </c>
      <c r="N3" s="3" t="s">
        <v>1</v>
      </c>
      <c r="O3" s="24"/>
      <c r="P3" s="24"/>
    </row>
    <row r="4" spans="1:16" ht="21" thickTop="1" thickBot="1" x14ac:dyDescent="0.3">
      <c r="B4" s="12" t="s">
        <v>31</v>
      </c>
      <c r="C4" s="13" t="s">
        <v>36</v>
      </c>
      <c r="D4" s="1">
        <v>25.5</v>
      </c>
      <c r="E4" s="14">
        <f>LOOKUP(D4,L4:L11,M4:M11)</f>
        <v>7625.8</v>
      </c>
      <c r="F4" s="14">
        <f>LOOKUP(D4,L4:L11,N4:N11)</f>
        <v>10301.200000000001</v>
      </c>
      <c r="H4" s="3" t="s">
        <v>34</v>
      </c>
      <c r="J4" s="25">
        <v>11100</v>
      </c>
      <c r="K4" s="25">
        <v>13880</v>
      </c>
      <c r="L4" s="25">
        <v>15</v>
      </c>
      <c r="M4" s="26">
        <f>K4*0.455</f>
        <v>6315.4000000000005</v>
      </c>
      <c r="N4" s="26">
        <f>J4*0.455</f>
        <v>5050.5</v>
      </c>
      <c r="O4" s="24"/>
      <c r="P4" s="24"/>
    </row>
    <row r="5" spans="1:16" ht="21" thickTop="1" thickBot="1" x14ac:dyDescent="0.3">
      <c r="B5" s="12" t="s">
        <v>31</v>
      </c>
      <c r="C5" s="13" t="s">
        <v>32</v>
      </c>
      <c r="D5" s="2">
        <v>5</v>
      </c>
      <c r="E5" s="12" t="s">
        <v>22</v>
      </c>
      <c r="G5" s="17"/>
      <c r="J5" s="25">
        <v>12080</v>
      </c>
      <c r="K5" s="25">
        <v>14120</v>
      </c>
      <c r="L5" s="25">
        <v>16.5</v>
      </c>
      <c r="M5" s="26">
        <f t="shared" ref="M5:M11" si="0">K5*0.455</f>
        <v>6424.6</v>
      </c>
      <c r="N5" s="26">
        <f t="shared" ref="N5:N11" si="1">J5*0.455</f>
        <v>5496.4000000000005</v>
      </c>
      <c r="O5" s="24"/>
      <c r="P5" s="24"/>
    </row>
    <row r="6" spans="1:16" ht="21" customHeight="1" thickTop="1" thickBot="1" x14ac:dyDescent="0.3">
      <c r="C6" s="18" t="s">
        <v>3</v>
      </c>
      <c r="D6" s="9">
        <f>1.25*A3*(1+(D5-D26)/D5)+D27</f>
        <v>16358.099264705881</v>
      </c>
      <c r="E6" s="12" t="s">
        <v>27</v>
      </c>
      <c r="F6" s="29" t="s">
        <v>28</v>
      </c>
      <c r="J6" s="25">
        <v>13500</v>
      </c>
      <c r="K6" s="25">
        <v>14480</v>
      </c>
      <c r="L6" s="25">
        <v>18</v>
      </c>
      <c r="M6" s="26">
        <f t="shared" si="0"/>
        <v>6588.4000000000005</v>
      </c>
      <c r="N6" s="26">
        <f t="shared" si="1"/>
        <v>6142.5</v>
      </c>
      <c r="O6" s="24"/>
      <c r="P6" s="24"/>
    </row>
    <row r="7" spans="1:16" ht="21" thickTop="1" thickBot="1" x14ac:dyDescent="0.3">
      <c r="C7" s="18" t="s">
        <v>4</v>
      </c>
      <c r="D7" s="9">
        <f>1.25*A3*D26/D5+D27</f>
        <v>6452.6997549019607</v>
      </c>
      <c r="E7" s="12" t="s">
        <v>27</v>
      </c>
      <c r="F7" s="29"/>
      <c r="G7" s="19"/>
      <c r="J7" s="25">
        <v>14850</v>
      </c>
      <c r="K7" s="25">
        <v>14820</v>
      </c>
      <c r="L7" s="25">
        <v>19.5</v>
      </c>
      <c r="M7" s="26">
        <f t="shared" si="0"/>
        <v>6743.1</v>
      </c>
      <c r="N7" s="26">
        <f t="shared" si="1"/>
        <v>6756.75</v>
      </c>
      <c r="O7" s="24"/>
      <c r="P7" s="24"/>
    </row>
    <row r="8" spans="1:16" ht="21" thickTop="1" thickBot="1" x14ac:dyDescent="0.3">
      <c r="C8" s="18" t="s">
        <v>5</v>
      </c>
      <c r="D8" s="9">
        <f>1.25*B3*(1+(D5-D26)/D5)+D27</f>
        <v>6611.775735294118</v>
      </c>
      <c r="E8" s="12" t="s">
        <v>27</v>
      </c>
      <c r="F8" s="29"/>
      <c r="J8" s="25">
        <v>16240</v>
      </c>
      <c r="K8" s="25">
        <v>15160</v>
      </c>
      <c r="L8" s="25">
        <v>21</v>
      </c>
      <c r="M8" s="26">
        <f t="shared" si="0"/>
        <v>6897.8</v>
      </c>
      <c r="N8" s="26">
        <f t="shared" si="1"/>
        <v>7389.2</v>
      </c>
      <c r="O8" s="24"/>
      <c r="P8" s="24"/>
    </row>
    <row r="9" spans="1:16" ht="21" thickTop="1" thickBot="1" x14ac:dyDescent="0.3">
      <c r="C9" s="18" t="s">
        <v>6</v>
      </c>
      <c r="D9" s="9">
        <f>1.25*B3*D26/D5+D27</f>
        <v>3203.9252450980393</v>
      </c>
      <c r="E9" s="12" t="s">
        <v>27</v>
      </c>
      <c r="F9" s="29"/>
      <c r="J9" s="25">
        <v>18860</v>
      </c>
      <c r="K9" s="25">
        <v>15820</v>
      </c>
      <c r="L9" s="25">
        <v>22.5</v>
      </c>
      <c r="M9" s="26">
        <f t="shared" si="0"/>
        <v>7198.1</v>
      </c>
      <c r="N9" s="26">
        <f t="shared" si="1"/>
        <v>8581.3000000000011</v>
      </c>
      <c r="O9" s="24"/>
      <c r="P9" s="24"/>
    </row>
    <row r="10" spans="1:16" ht="21" thickTop="1" thickBot="1" x14ac:dyDescent="0.3">
      <c r="A10" s="3" t="s">
        <v>25</v>
      </c>
      <c r="B10" s="14">
        <f>0.2*D23</f>
        <v>1584.8639215686276</v>
      </c>
      <c r="C10" s="20" t="s">
        <v>7</v>
      </c>
      <c r="D10" s="9">
        <f>B10*(1+(D5-D26)/D5)</f>
        <v>2377.2958823529416</v>
      </c>
      <c r="E10" s="12" t="s">
        <v>27</v>
      </c>
      <c r="F10" s="30" t="s">
        <v>29</v>
      </c>
      <c r="J10" s="25">
        <v>20650</v>
      </c>
      <c r="K10" s="25">
        <v>16270</v>
      </c>
      <c r="L10" s="25">
        <v>24</v>
      </c>
      <c r="M10" s="26">
        <f t="shared" si="0"/>
        <v>7402.85</v>
      </c>
      <c r="N10" s="26">
        <f t="shared" si="1"/>
        <v>9395.75</v>
      </c>
      <c r="O10" s="24"/>
      <c r="P10" s="24"/>
    </row>
    <row r="11" spans="1:16" ht="21" thickTop="1" thickBot="1" x14ac:dyDescent="0.3">
      <c r="C11" s="20" t="s">
        <v>8</v>
      </c>
      <c r="D11" s="9">
        <f>B10*D26/D5</f>
        <v>792.43196078431379</v>
      </c>
      <c r="E11" s="12" t="s">
        <v>27</v>
      </c>
      <c r="F11" s="30"/>
      <c r="J11" s="25">
        <v>22640</v>
      </c>
      <c r="K11" s="25">
        <v>16760</v>
      </c>
      <c r="L11" s="25">
        <v>25.5</v>
      </c>
      <c r="M11" s="26">
        <f t="shared" si="0"/>
        <v>7625.8</v>
      </c>
      <c r="N11" s="26">
        <f t="shared" si="1"/>
        <v>10301.200000000001</v>
      </c>
    </row>
    <row r="12" spans="1:16" ht="21" thickTop="1" thickBot="1" x14ac:dyDescent="0.3">
      <c r="C12" s="20" t="s">
        <v>9</v>
      </c>
      <c r="D12" s="9">
        <f>D10</f>
        <v>2377.2958823529416</v>
      </c>
      <c r="E12" s="12" t="s">
        <v>27</v>
      </c>
      <c r="F12" s="30"/>
    </row>
    <row r="13" spans="1:16" ht="21" thickTop="1" thickBot="1" x14ac:dyDescent="0.3">
      <c r="C13" s="20" t="s">
        <v>10</v>
      </c>
      <c r="D13" s="9">
        <f>D11</f>
        <v>792.43196078431379</v>
      </c>
      <c r="E13" s="12" t="s">
        <v>27</v>
      </c>
      <c r="F13" s="30"/>
    </row>
    <row r="14" spans="1:16" ht="21" thickTop="1" thickBot="1" x14ac:dyDescent="0.3">
      <c r="A14" s="3" t="s">
        <v>26</v>
      </c>
      <c r="B14" s="14">
        <f>IF(D3="YES",B15,B16)</f>
        <v>2200</v>
      </c>
      <c r="C14" s="21" t="s">
        <v>11</v>
      </c>
      <c r="D14" s="16">
        <f>B14*(1+(D5-D26)/D5)</f>
        <v>3300</v>
      </c>
      <c r="E14" s="12" t="s">
        <v>27</v>
      </c>
      <c r="F14" s="29" t="s">
        <v>30</v>
      </c>
    </row>
    <row r="15" spans="1:16" ht="21" thickTop="1" thickBot="1" x14ac:dyDescent="0.3">
      <c r="B15" s="14">
        <f>0.2*(10000+D22)</f>
        <v>2200</v>
      </c>
      <c r="C15" s="21" t="s">
        <v>12</v>
      </c>
      <c r="D15" s="16">
        <f>B14*D26/D5</f>
        <v>1100</v>
      </c>
      <c r="E15" s="12" t="s">
        <v>27</v>
      </c>
      <c r="F15" s="29"/>
    </row>
    <row r="16" spans="1:16" ht="21" thickTop="1" thickBot="1" x14ac:dyDescent="0.3">
      <c r="B16" s="14">
        <f>0.2*(0+D22)</f>
        <v>200</v>
      </c>
      <c r="C16" s="21" t="s">
        <v>13</v>
      </c>
      <c r="D16" s="16">
        <f>D14</f>
        <v>3300</v>
      </c>
      <c r="E16" s="12" t="s">
        <v>27</v>
      </c>
      <c r="F16" s="29"/>
    </row>
    <row r="17" spans="3:6" ht="21" thickTop="1" thickBot="1" x14ac:dyDescent="0.3">
      <c r="C17" s="21" t="s">
        <v>14</v>
      </c>
      <c r="D17" s="16">
        <f>D15</f>
        <v>1100</v>
      </c>
      <c r="E17" s="12" t="s">
        <v>27</v>
      </c>
      <c r="F17" s="29"/>
    </row>
    <row r="18" spans="3:6" ht="20.25" thickTop="1" x14ac:dyDescent="0.25">
      <c r="F18" s="19"/>
    </row>
    <row r="20" spans="3:6" x14ac:dyDescent="0.25">
      <c r="C20" s="12" t="s">
        <v>15</v>
      </c>
      <c r="D20" s="22">
        <f>F4/4</f>
        <v>2575.3000000000002</v>
      </c>
      <c r="E20" s="12"/>
      <c r="F20" s="12"/>
    </row>
    <row r="21" spans="3:6" x14ac:dyDescent="0.25">
      <c r="C21" s="12" t="s">
        <v>16</v>
      </c>
      <c r="D21" s="22">
        <f>IF(D3="yes",E21,F21)</f>
        <v>7924.3196078431374</v>
      </c>
      <c r="E21" s="12">
        <f>(((10000+D22)*(D4-0.7)/D4)/2)+D20</f>
        <v>7924.3196078431374</v>
      </c>
      <c r="F21" s="12">
        <f>(((0+D22)*(D4-0.7)/D4)/2)+D20</f>
        <v>3061.5745098039215</v>
      </c>
    </row>
    <row r="22" spans="3:6" x14ac:dyDescent="0.25">
      <c r="C22" s="12" t="s">
        <v>17</v>
      </c>
      <c r="D22" s="12">
        <v>1000</v>
      </c>
      <c r="E22" s="12"/>
      <c r="F22" s="12"/>
    </row>
    <row r="23" spans="3:6" x14ac:dyDescent="0.25">
      <c r="C23" s="12" t="s">
        <v>19</v>
      </c>
      <c r="D23" s="22">
        <f>IF(D3="yes",E23,F21)</f>
        <v>7924.3196078431374</v>
      </c>
      <c r="E23" s="22">
        <f>MAX(D21,E4)</f>
        <v>7924.3196078431374</v>
      </c>
      <c r="F23" s="12"/>
    </row>
    <row r="24" spans="3:6" x14ac:dyDescent="0.25">
      <c r="C24" s="12" t="s">
        <v>20</v>
      </c>
      <c r="D24" s="12">
        <v>0.7</v>
      </c>
      <c r="E24" s="12"/>
      <c r="F24" s="12"/>
    </row>
    <row r="25" spans="3:6" x14ac:dyDescent="0.25">
      <c r="C25" s="12" t="s">
        <v>21</v>
      </c>
      <c r="D25" s="22">
        <f>IF(D3="yes",E25,F25)</f>
        <v>2726.2803921568629</v>
      </c>
      <c r="E25" s="12">
        <f>(((10000+D22)*(0.7)/D4)/2)+D20</f>
        <v>2726.2803921568629</v>
      </c>
      <c r="F25" s="12">
        <f>(((0+D22)*(0.7)/D4)/2)+D20</f>
        <v>2589.0254901960784</v>
      </c>
    </row>
    <row r="26" spans="3:6" x14ac:dyDescent="0.25">
      <c r="C26" s="12" t="s">
        <v>23</v>
      </c>
      <c r="D26" s="12">
        <v>2.5</v>
      </c>
      <c r="E26" s="12"/>
      <c r="F26" s="12"/>
    </row>
    <row r="27" spans="3:6" x14ac:dyDescent="0.25">
      <c r="C27" s="12" t="s">
        <v>24</v>
      </c>
      <c r="D27" s="12">
        <v>1500</v>
      </c>
    </row>
  </sheetData>
  <sheetProtection algorithmName="SHA-512" hashValue="ynPUjts4z2DIGKUVC9RJsVSRNMtOuNb/cQsuu3dOo3qRTYczjceZKQQ3x8KNZpxBAP+RW4vgW1vYIeYiErU0AQ==" saltValue="fenq8idXwKpDyZIxNqEqrA==" spinCount="100000" sheet="1" objects="1" scenarios="1" selectLockedCells="1"/>
  <mergeCells count="3">
    <mergeCell ref="F6:F9"/>
    <mergeCell ref="F10:F13"/>
    <mergeCell ref="F14:F17"/>
  </mergeCells>
  <dataValidations count="2">
    <dataValidation type="list" allowBlank="1" showInputMessage="1" showErrorMessage="1" sqref="D3">
      <formula1>$H$3:$H$4</formula1>
    </dataValidation>
    <dataValidation type="list" allowBlank="1" showInputMessage="1" showErrorMessage="1" sqref="D4">
      <formula1>$L$4:$L$11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7"/>
  <sheetViews>
    <sheetView showGridLines="0" topLeftCell="A3" workbookViewId="0">
      <selection activeCell="D3" sqref="D3"/>
    </sheetView>
  </sheetViews>
  <sheetFormatPr defaultRowHeight="19.5" x14ac:dyDescent="0.25"/>
  <cols>
    <col min="1" max="2" width="9.140625" style="4"/>
    <col min="3" max="3" width="14.42578125" style="4" bestFit="1" customWidth="1"/>
    <col min="4" max="16384" width="9.140625" style="4"/>
  </cols>
  <sheetData>
    <row r="2" spans="1:16" ht="27" thickBot="1" x14ac:dyDescent="0.3">
      <c r="A2" s="3" t="s">
        <v>19</v>
      </c>
      <c r="B2" s="3" t="s">
        <v>21</v>
      </c>
      <c r="E2" s="5"/>
      <c r="F2" s="3" t="s">
        <v>18</v>
      </c>
      <c r="I2" s="6" t="s">
        <v>39</v>
      </c>
    </row>
    <row r="3" spans="1:16" ht="21" thickTop="1" thickBot="1" x14ac:dyDescent="0.3">
      <c r="A3" s="7">
        <f>D23</f>
        <v>14467.041666666666</v>
      </c>
      <c r="B3" s="7">
        <f>D25</f>
        <v>4108.708333333333</v>
      </c>
      <c r="C3" s="8" t="s">
        <v>35</v>
      </c>
      <c r="D3" s="23" t="s">
        <v>34</v>
      </c>
      <c r="E3" s="3" t="s">
        <v>0</v>
      </c>
      <c r="F3" s="3" t="s">
        <v>1</v>
      </c>
      <c r="H3" s="3" t="s">
        <v>33</v>
      </c>
      <c r="J3" s="25"/>
      <c r="K3" s="25"/>
      <c r="L3" s="27" t="s">
        <v>2</v>
      </c>
      <c r="M3" s="27" t="s">
        <v>0</v>
      </c>
      <c r="N3" s="27" t="s">
        <v>1</v>
      </c>
      <c r="O3" s="24"/>
      <c r="P3" s="24"/>
    </row>
    <row r="4" spans="1:16" ht="21" thickTop="1" thickBot="1" x14ac:dyDescent="0.3">
      <c r="B4" s="12" t="s">
        <v>31</v>
      </c>
      <c r="C4" s="13" t="s">
        <v>36</v>
      </c>
      <c r="D4" s="1">
        <v>24</v>
      </c>
      <c r="E4" s="14">
        <f>LOOKUP(D4,L4:L11,M4:M11)</f>
        <v>14255.15</v>
      </c>
      <c r="F4" s="14">
        <f>LOOKUP(D4,L4:L11,N4:N11)</f>
        <v>15151.5</v>
      </c>
      <c r="H4" s="3" t="s">
        <v>34</v>
      </c>
      <c r="J4" s="25">
        <v>18450</v>
      </c>
      <c r="K4" s="25">
        <v>27620</v>
      </c>
      <c r="L4" s="25">
        <v>15</v>
      </c>
      <c r="M4" s="26">
        <f>K4*0.455</f>
        <v>12567.1</v>
      </c>
      <c r="N4" s="26">
        <f>J4*0.455</f>
        <v>8394.75</v>
      </c>
      <c r="O4" s="24"/>
      <c r="P4" s="24"/>
    </row>
    <row r="5" spans="1:16" ht="21" thickTop="1" thickBot="1" x14ac:dyDescent="0.3">
      <c r="B5" s="12" t="s">
        <v>31</v>
      </c>
      <c r="C5" s="13" t="s">
        <v>32</v>
      </c>
      <c r="D5" s="2">
        <v>6</v>
      </c>
      <c r="E5" s="12" t="s">
        <v>22</v>
      </c>
      <c r="G5" s="17"/>
      <c r="J5" s="25">
        <v>20410</v>
      </c>
      <c r="K5" s="25">
        <v>28110</v>
      </c>
      <c r="L5" s="25">
        <v>16.5</v>
      </c>
      <c r="M5" s="26">
        <f t="shared" ref="M5:M11" si="0">K5*0.455</f>
        <v>12790.050000000001</v>
      </c>
      <c r="N5" s="26">
        <f t="shared" ref="N5:N11" si="1">J5*0.455</f>
        <v>9286.5500000000011</v>
      </c>
      <c r="O5" s="24"/>
      <c r="P5" s="24"/>
    </row>
    <row r="6" spans="1:16" ht="21" customHeight="1" thickTop="1" thickBot="1" x14ac:dyDescent="0.3">
      <c r="C6" s="18" t="s">
        <v>3</v>
      </c>
      <c r="D6" s="9">
        <f>1.25*A3*(1+(D5-D26)/D5)+D27</f>
        <v>30632.686631944445</v>
      </c>
      <c r="E6" s="12" t="s">
        <v>27</v>
      </c>
      <c r="F6" s="29" t="s">
        <v>28</v>
      </c>
      <c r="J6" s="25">
        <v>22550</v>
      </c>
      <c r="K6" s="25">
        <v>28640</v>
      </c>
      <c r="L6" s="25">
        <v>18</v>
      </c>
      <c r="M6" s="26">
        <f t="shared" si="0"/>
        <v>13031.2</v>
      </c>
      <c r="N6" s="26">
        <f t="shared" si="1"/>
        <v>10260.25</v>
      </c>
      <c r="O6" s="24"/>
      <c r="P6" s="24"/>
    </row>
    <row r="7" spans="1:16" ht="21" thickTop="1" thickBot="1" x14ac:dyDescent="0.3">
      <c r="C7" s="18" t="s">
        <v>4</v>
      </c>
      <c r="D7" s="9">
        <f>1.25*A3*D26/D5+D27</f>
        <v>9534.9175347222226</v>
      </c>
      <c r="E7" s="12" t="s">
        <v>27</v>
      </c>
      <c r="F7" s="29"/>
      <c r="G7" s="19"/>
      <c r="J7" s="25">
        <v>24730</v>
      </c>
      <c r="K7" s="25">
        <v>29190</v>
      </c>
      <c r="L7" s="25">
        <v>19.5</v>
      </c>
      <c r="M7" s="26">
        <f t="shared" si="0"/>
        <v>13281.45</v>
      </c>
      <c r="N7" s="26">
        <f t="shared" si="1"/>
        <v>11252.15</v>
      </c>
      <c r="O7" s="24"/>
      <c r="P7" s="24"/>
    </row>
    <row r="8" spans="1:16" ht="21" thickTop="1" thickBot="1" x14ac:dyDescent="0.3">
      <c r="C8" s="18" t="s">
        <v>5</v>
      </c>
      <c r="D8" s="9">
        <f>1.25*B3*(1+(D5-D26)/D5)+D27</f>
        <v>10131.818576388889</v>
      </c>
      <c r="E8" s="12" t="s">
        <v>27</v>
      </c>
      <c r="F8" s="29"/>
      <c r="J8" s="25">
        <v>27460</v>
      </c>
      <c r="K8" s="25">
        <v>29870</v>
      </c>
      <c r="L8" s="25">
        <v>21</v>
      </c>
      <c r="M8" s="26">
        <f t="shared" si="0"/>
        <v>13590.85</v>
      </c>
      <c r="N8" s="26">
        <f t="shared" si="1"/>
        <v>12494.300000000001</v>
      </c>
      <c r="O8" s="24"/>
      <c r="P8" s="24"/>
    </row>
    <row r="9" spans="1:16" ht="21" thickTop="1" thickBot="1" x14ac:dyDescent="0.3">
      <c r="C9" s="18" t="s">
        <v>6</v>
      </c>
      <c r="D9" s="9">
        <f>1.25*B3*D26/D5+D27</f>
        <v>4139.9522569444434</v>
      </c>
      <c r="E9" s="12" t="s">
        <v>27</v>
      </c>
      <c r="F9" s="29"/>
      <c r="J9" s="25">
        <v>30620</v>
      </c>
      <c r="K9" s="25">
        <v>30660</v>
      </c>
      <c r="L9" s="25">
        <v>22.5</v>
      </c>
      <c r="M9" s="26">
        <f t="shared" si="0"/>
        <v>13950.300000000001</v>
      </c>
      <c r="N9" s="26">
        <f t="shared" si="1"/>
        <v>13932.1</v>
      </c>
      <c r="O9" s="24"/>
      <c r="P9" s="24"/>
    </row>
    <row r="10" spans="1:16" ht="21" thickTop="1" thickBot="1" x14ac:dyDescent="0.3">
      <c r="A10" s="3" t="s">
        <v>25</v>
      </c>
      <c r="B10" s="14">
        <f>0.2*D23</f>
        <v>2893.4083333333333</v>
      </c>
      <c r="C10" s="20" t="s">
        <v>7</v>
      </c>
      <c r="D10" s="9">
        <f>B10*(1+(D5-D26)/D5)</f>
        <v>4581.2298611111119</v>
      </c>
      <c r="E10" s="12" t="s">
        <v>27</v>
      </c>
      <c r="F10" s="30" t="s">
        <v>29</v>
      </c>
      <c r="J10" s="25">
        <v>33300</v>
      </c>
      <c r="K10" s="25">
        <v>31330</v>
      </c>
      <c r="L10" s="25">
        <v>24</v>
      </c>
      <c r="M10" s="26">
        <f t="shared" si="0"/>
        <v>14255.15</v>
      </c>
      <c r="N10" s="26">
        <f t="shared" si="1"/>
        <v>15151.5</v>
      </c>
      <c r="O10" s="24"/>
      <c r="P10" s="24"/>
    </row>
    <row r="11" spans="1:16" ht="21" thickTop="1" thickBot="1" x14ac:dyDescent="0.3">
      <c r="C11" s="20" t="s">
        <v>8</v>
      </c>
      <c r="D11" s="9">
        <f>B10*D26/D5</f>
        <v>1205.5868055555554</v>
      </c>
      <c r="E11" s="12" t="s">
        <v>27</v>
      </c>
      <c r="F11" s="30"/>
      <c r="J11" s="25">
        <v>36490</v>
      </c>
      <c r="K11" s="25">
        <v>32130</v>
      </c>
      <c r="L11" s="25">
        <v>25.5</v>
      </c>
      <c r="M11" s="26">
        <f t="shared" si="0"/>
        <v>14619.15</v>
      </c>
      <c r="N11" s="26">
        <f t="shared" si="1"/>
        <v>16602.95</v>
      </c>
    </row>
    <row r="12" spans="1:16" ht="21" thickTop="1" thickBot="1" x14ac:dyDescent="0.3">
      <c r="C12" s="20" t="s">
        <v>9</v>
      </c>
      <c r="D12" s="9">
        <f>D10</f>
        <v>4581.2298611111119</v>
      </c>
      <c r="E12" s="12" t="s">
        <v>27</v>
      </c>
      <c r="F12" s="30"/>
    </row>
    <row r="13" spans="1:16" ht="21" thickTop="1" thickBot="1" x14ac:dyDescent="0.3">
      <c r="C13" s="20" t="s">
        <v>10</v>
      </c>
      <c r="D13" s="9">
        <f>D11</f>
        <v>1205.5868055555554</v>
      </c>
      <c r="E13" s="12" t="s">
        <v>27</v>
      </c>
      <c r="F13" s="30"/>
    </row>
    <row r="14" spans="1:16" ht="21" thickTop="1" thickBot="1" x14ac:dyDescent="0.3">
      <c r="A14" s="3" t="s">
        <v>26</v>
      </c>
      <c r="B14" s="14">
        <f>IF(D3="YES",B15,B16)</f>
        <v>4400</v>
      </c>
      <c r="C14" s="21" t="s">
        <v>11</v>
      </c>
      <c r="D14" s="16">
        <f>B14*(1+(D5-D26)/D5)</f>
        <v>6966.666666666667</v>
      </c>
      <c r="E14" s="12" t="s">
        <v>27</v>
      </c>
      <c r="F14" s="29" t="s">
        <v>30</v>
      </c>
    </row>
    <row r="15" spans="1:16" ht="21" thickTop="1" thickBot="1" x14ac:dyDescent="0.3">
      <c r="B15" s="14">
        <f>0.2*(20000+D22)</f>
        <v>4400</v>
      </c>
      <c r="C15" s="21" t="s">
        <v>12</v>
      </c>
      <c r="D15" s="16">
        <f>B14*D26/D5</f>
        <v>1833.3333333333333</v>
      </c>
      <c r="E15" s="12" t="s">
        <v>27</v>
      </c>
      <c r="F15" s="29"/>
    </row>
    <row r="16" spans="1:16" ht="21" thickTop="1" thickBot="1" x14ac:dyDescent="0.3">
      <c r="B16" s="14">
        <f>0.2*(0+D22)</f>
        <v>400</v>
      </c>
      <c r="C16" s="21" t="s">
        <v>13</v>
      </c>
      <c r="D16" s="16">
        <f>D14</f>
        <v>6966.666666666667</v>
      </c>
      <c r="E16" s="12" t="s">
        <v>27</v>
      </c>
      <c r="F16" s="29"/>
    </row>
    <row r="17" spans="3:6" ht="21" thickTop="1" thickBot="1" x14ac:dyDescent="0.3">
      <c r="C17" s="21" t="s">
        <v>14</v>
      </c>
      <c r="D17" s="16">
        <f>D15</f>
        <v>1833.3333333333333</v>
      </c>
      <c r="E17" s="12" t="s">
        <v>27</v>
      </c>
      <c r="F17" s="29"/>
    </row>
    <row r="18" spans="3:6" ht="20.25" thickTop="1" x14ac:dyDescent="0.25">
      <c r="F18" s="19"/>
    </row>
    <row r="20" spans="3:6" x14ac:dyDescent="0.25">
      <c r="C20" s="12" t="s">
        <v>15</v>
      </c>
      <c r="D20" s="22">
        <f>F4/4</f>
        <v>3787.875</v>
      </c>
      <c r="E20" s="12"/>
      <c r="F20" s="12"/>
    </row>
    <row r="21" spans="3:6" x14ac:dyDescent="0.25">
      <c r="C21" s="12" t="s">
        <v>16</v>
      </c>
      <c r="D21" s="22">
        <f>IF(D3="yes",E21,F21)</f>
        <v>14467.041666666666</v>
      </c>
      <c r="E21" s="12">
        <f>(((20000+D22)*(D4-0.7)/D4)/2)+D20</f>
        <v>14467.041666666666</v>
      </c>
      <c r="F21" s="12">
        <f>(((0+D22)*(D4-0.7)/D4)/2)+D20</f>
        <v>4758.708333333333</v>
      </c>
    </row>
    <row r="22" spans="3:6" x14ac:dyDescent="0.25">
      <c r="C22" s="12" t="s">
        <v>17</v>
      </c>
      <c r="D22" s="12">
        <v>2000</v>
      </c>
      <c r="E22" s="12"/>
      <c r="F22" s="12"/>
    </row>
    <row r="23" spans="3:6" x14ac:dyDescent="0.25">
      <c r="C23" s="12" t="s">
        <v>19</v>
      </c>
      <c r="D23" s="22">
        <f>IF(D3="yes",E23,F21)</f>
        <v>14467.041666666666</v>
      </c>
      <c r="E23" s="22">
        <f>MAX(D21,E4)</f>
        <v>14467.041666666666</v>
      </c>
      <c r="F23" s="12"/>
    </row>
    <row r="24" spans="3:6" x14ac:dyDescent="0.25">
      <c r="C24" s="12" t="s">
        <v>20</v>
      </c>
      <c r="D24" s="12">
        <v>0.7</v>
      </c>
      <c r="E24" s="12"/>
      <c r="F24" s="12"/>
    </row>
    <row r="25" spans="3:6" x14ac:dyDescent="0.25">
      <c r="C25" s="12" t="s">
        <v>21</v>
      </c>
      <c r="D25" s="22">
        <f>IF(D3="yes",E25,F25)</f>
        <v>4108.708333333333</v>
      </c>
      <c r="E25" s="12">
        <f>(((20000+D22)*(0.7)/D4)/2)+D20</f>
        <v>4108.708333333333</v>
      </c>
      <c r="F25" s="12">
        <f>(((0+D22)*(0.7)/D4)/2)+D20</f>
        <v>3817.0416666666665</v>
      </c>
    </row>
    <row r="26" spans="3:6" x14ac:dyDescent="0.25">
      <c r="C26" s="12" t="s">
        <v>23</v>
      </c>
      <c r="D26" s="12">
        <v>2.5</v>
      </c>
      <c r="E26" s="12"/>
      <c r="F26" s="12"/>
    </row>
    <row r="27" spans="3:6" x14ac:dyDescent="0.25">
      <c r="C27" s="12" t="s">
        <v>24</v>
      </c>
      <c r="D27" s="12">
        <v>2000</v>
      </c>
    </row>
  </sheetData>
  <sheetProtection algorithmName="SHA-512" hashValue="cMXGeDpaeSsoEouJfU/mbVBWKwecMLcJufoamcq0AeSotXRZqQ4vjmJvaVBcEEW4bEI9HMtB8H/WmMRKbIQZ5A==" saltValue="RjNZ/n5fxdmNU5LBTCcTvQ==" spinCount="100000" sheet="1" objects="1" scenarios="1" selectLockedCells="1"/>
  <mergeCells count="3">
    <mergeCell ref="F6:F9"/>
    <mergeCell ref="F10:F13"/>
    <mergeCell ref="F14:F17"/>
  </mergeCells>
  <dataValidations count="2">
    <dataValidation type="list" allowBlank="1" showInputMessage="1" showErrorMessage="1" sqref="D4">
      <formula1>$L$4:$L$11</formula1>
    </dataValidation>
    <dataValidation type="list" allowBlank="1" showInputMessage="1" showErrorMessage="1" sqref="D3">
      <formula1>$H$3:$H$4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showGridLines="0" zoomScaleNormal="100" workbookViewId="0">
      <selection activeCell="E5" sqref="E5"/>
    </sheetView>
  </sheetViews>
  <sheetFormatPr defaultRowHeight="15" x14ac:dyDescent="0.25"/>
  <cols>
    <col min="1" max="1" width="11.5703125" style="31" bestFit="1" customWidth="1"/>
    <col min="2" max="2" width="9.140625" style="31"/>
    <col min="3" max="3" width="15.42578125" style="31" bestFit="1" customWidth="1"/>
    <col min="4" max="4" width="11.85546875" style="31" bestFit="1" customWidth="1"/>
    <col min="5" max="16384" width="9.140625" style="31"/>
  </cols>
  <sheetData>
    <row r="2" spans="1:15" ht="15.75" thickBot="1" x14ac:dyDescent="0.3">
      <c r="A2" s="28">
        <v>43588</v>
      </c>
    </row>
    <row r="3" spans="1:15" ht="21.75" thickTop="1" thickBot="1" x14ac:dyDescent="0.35">
      <c r="A3" s="32"/>
      <c r="C3" s="33" t="s">
        <v>56</v>
      </c>
      <c r="D3" s="34" t="s">
        <v>42</v>
      </c>
      <c r="E3" s="34" t="s">
        <v>43</v>
      </c>
    </row>
    <row r="4" spans="1:15" ht="16.5" thickTop="1" thickBot="1" x14ac:dyDescent="0.3">
      <c r="C4" s="34" t="s">
        <v>40</v>
      </c>
      <c r="D4" s="43">
        <v>1.5</v>
      </c>
      <c r="E4" s="43">
        <v>20</v>
      </c>
      <c r="F4" s="31" t="s">
        <v>45</v>
      </c>
    </row>
    <row r="5" spans="1:15" ht="16.5" thickTop="1" thickBot="1" x14ac:dyDescent="0.3">
      <c r="C5" s="34" t="s">
        <v>41</v>
      </c>
      <c r="D5" s="43">
        <v>1</v>
      </c>
      <c r="E5" s="43">
        <v>50</v>
      </c>
      <c r="F5" s="31" t="s">
        <v>45</v>
      </c>
      <c r="L5" s="36"/>
      <c r="M5" s="36" t="s">
        <v>3</v>
      </c>
      <c r="N5" s="36" t="s">
        <v>64</v>
      </c>
      <c r="O5" s="36" t="s">
        <v>26</v>
      </c>
    </row>
    <row r="6" spans="1:15" ht="16.5" thickTop="1" thickBot="1" x14ac:dyDescent="0.3">
      <c r="C6" s="34" t="s">
        <v>46</v>
      </c>
      <c r="D6" s="37">
        <v>60</v>
      </c>
      <c r="E6" s="37" t="s">
        <v>45</v>
      </c>
      <c r="L6" s="36">
        <v>5</v>
      </c>
      <c r="M6" s="38">
        <f>'5 TON'!D6</f>
        <v>9068.6584201388905</v>
      </c>
      <c r="N6" s="38">
        <f>'5 TON'!D23</f>
        <v>4076.7958333333336</v>
      </c>
      <c r="O6" s="38">
        <f>'5 TON'!B14</f>
        <v>1100</v>
      </c>
    </row>
    <row r="7" spans="1:15" ht="16.5" thickTop="1" thickBot="1" x14ac:dyDescent="0.3">
      <c r="C7" s="34" t="s">
        <v>44</v>
      </c>
      <c r="D7" s="43">
        <v>90</v>
      </c>
      <c r="E7" s="35" t="s">
        <v>45</v>
      </c>
      <c r="L7" s="36">
        <v>10</v>
      </c>
      <c r="M7" s="38">
        <f>'10 TON'!D6</f>
        <v>16358.099264705881</v>
      </c>
      <c r="N7" s="38">
        <f>'10 TON'!D23</f>
        <v>7924.3196078431374</v>
      </c>
      <c r="O7" s="38">
        <f>'10 TON'!B14</f>
        <v>2200</v>
      </c>
    </row>
    <row r="8" spans="1:15" ht="16.5" thickTop="1" thickBot="1" x14ac:dyDescent="0.3">
      <c r="C8" s="34" t="s">
        <v>50</v>
      </c>
      <c r="D8" s="43">
        <v>20</v>
      </c>
      <c r="E8" s="35" t="s">
        <v>51</v>
      </c>
      <c r="F8" s="36">
        <f>LOOKUP(D8,L6:L8,M6:M8)</f>
        <v>30632.686631944445</v>
      </c>
      <c r="G8" s="31">
        <f>LOOKUP(D8,L6:L8,N6:N8)</f>
        <v>14467.041666666666</v>
      </c>
      <c r="H8" s="31">
        <f>LOOKUP(D8,L6:L8,O6:O8)</f>
        <v>4400</v>
      </c>
      <c r="L8" s="36">
        <v>20</v>
      </c>
      <c r="M8" s="38">
        <f>'20 TON'!D6</f>
        <v>30632.686631944445</v>
      </c>
      <c r="N8" s="38">
        <f>'20 TON'!D23</f>
        <v>14467.041666666666</v>
      </c>
      <c r="O8" s="38">
        <f>'20 TON'!B14</f>
        <v>4400</v>
      </c>
    </row>
    <row r="9" spans="1:15" ht="16.5" thickTop="1" thickBot="1" x14ac:dyDescent="0.3">
      <c r="A9" s="39" t="s">
        <v>53</v>
      </c>
      <c r="B9" s="39">
        <f>D9/D24</f>
        <v>0.94109636350059755</v>
      </c>
      <c r="C9" s="40" t="s">
        <v>52</v>
      </c>
      <c r="D9" s="41">
        <f>1.6*F8*D7</f>
        <v>4411106.8750000009</v>
      </c>
      <c r="E9" s="42" t="s">
        <v>55</v>
      </c>
    </row>
    <row r="10" spans="1:15" ht="33" customHeight="1" thickTop="1" x14ac:dyDescent="0.25">
      <c r="B10" s="12" t="str">
        <f>IF(B9&lt;=1,"OK","BAD")</f>
        <v>OK</v>
      </c>
    </row>
    <row r="11" spans="1:15" ht="33" customHeight="1" thickBot="1" x14ac:dyDescent="0.3"/>
    <row r="12" spans="1:15" ht="21.75" thickTop="1" thickBot="1" x14ac:dyDescent="0.35">
      <c r="A12" s="32"/>
      <c r="C12" s="33" t="s">
        <v>57</v>
      </c>
      <c r="D12" s="34" t="s">
        <v>42</v>
      </c>
      <c r="E12" s="34" t="s">
        <v>43</v>
      </c>
    </row>
    <row r="13" spans="1:15" ht="16.5" thickTop="1" thickBot="1" x14ac:dyDescent="0.3">
      <c r="C13" s="34" t="s">
        <v>40</v>
      </c>
      <c r="D13" s="43">
        <v>2</v>
      </c>
      <c r="E13" s="43">
        <v>25</v>
      </c>
      <c r="F13" s="31" t="s">
        <v>45</v>
      </c>
    </row>
    <row r="14" spans="1:15" ht="16.5" thickTop="1" thickBot="1" x14ac:dyDescent="0.3">
      <c r="C14" s="34" t="s">
        <v>41</v>
      </c>
      <c r="D14" s="43">
        <v>1</v>
      </c>
      <c r="E14" s="43">
        <v>55</v>
      </c>
      <c r="F14" s="31" t="s">
        <v>45</v>
      </c>
    </row>
    <row r="15" spans="1:15" ht="16.5" thickTop="1" thickBot="1" x14ac:dyDescent="0.3">
      <c r="A15" s="39" t="s">
        <v>53</v>
      </c>
      <c r="B15" s="39">
        <f>D15/D30</f>
        <v>0.68844075189803222</v>
      </c>
      <c r="C15" s="40" t="s">
        <v>65</v>
      </c>
      <c r="D15" s="41">
        <f>1.6*0.5*(600-125)*D32+1.2*D29*10^-2*600^2/8</f>
        <v>5362609.236909722</v>
      </c>
      <c r="E15" s="42" t="s">
        <v>55</v>
      </c>
    </row>
    <row r="16" spans="1:15" ht="16.5" thickTop="1" thickBot="1" x14ac:dyDescent="0.3">
      <c r="A16" s="39" t="s">
        <v>53</v>
      </c>
      <c r="B16" s="39">
        <f>D16/D36</f>
        <v>0.27699730381722726</v>
      </c>
      <c r="C16" s="40" t="s">
        <v>66</v>
      </c>
      <c r="D16" s="42">
        <f>1.6*0.2*(D8*1000+H8)*100</f>
        <v>780800.00000000023</v>
      </c>
      <c r="E16" s="42" t="s">
        <v>55</v>
      </c>
    </row>
    <row r="17" spans="1:5" ht="15.75" thickTop="1" x14ac:dyDescent="0.25">
      <c r="A17" s="39" t="s">
        <v>69</v>
      </c>
      <c r="B17" s="39">
        <f>SUM(B15:B16)</f>
        <v>0.96543805571525954</v>
      </c>
    </row>
    <row r="18" spans="1:5" ht="28.5" customHeight="1" x14ac:dyDescent="0.25">
      <c r="B18" s="12" t="str">
        <f>IF(B17&lt;=1,"OK","BAD")</f>
        <v>OK</v>
      </c>
    </row>
    <row r="22" spans="1:5" x14ac:dyDescent="0.25">
      <c r="A22" s="36"/>
      <c r="B22" s="36" t="s">
        <v>58</v>
      </c>
      <c r="C22" s="36" t="s">
        <v>47</v>
      </c>
      <c r="D22" s="36">
        <f>D23*(2*D4*E4+D5*E5)</f>
        <v>2170</v>
      </c>
      <c r="E22" s="36" t="s">
        <v>49</v>
      </c>
    </row>
    <row r="23" spans="1:5" x14ac:dyDescent="0.25">
      <c r="A23" s="36"/>
      <c r="B23" s="36"/>
      <c r="C23" s="36" t="s">
        <v>48</v>
      </c>
      <c r="D23" s="36">
        <f>(D5*(E5/2)^2/2+(D4/2+E5/2)*(D4*E4))/(D4*E4+0.5*D5*E5)</f>
        <v>19.727272727272727</v>
      </c>
      <c r="E23" s="36" t="s">
        <v>45</v>
      </c>
    </row>
    <row r="24" spans="1:5" x14ac:dyDescent="0.25">
      <c r="A24" s="36"/>
      <c r="B24" s="36"/>
      <c r="C24" s="36" t="s">
        <v>54</v>
      </c>
      <c r="D24" s="36">
        <f>0.9*2400*D22</f>
        <v>4687200</v>
      </c>
      <c r="E24" s="36"/>
    </row>
    <row r="25" spans="1:5" x14ac:dyDescent="0.25">
      <c r="A25" s="36"/>
      <c r="B25" s="36"/>
      <c r="C25" s="36"/>
      <c r="D25" s="36"/>
      <c r="E25" s="36"/>
    </row>
    <row r="26" spans="1:5" x14ac:dyDescent="0.25">
      <c r="A26" s="36" t="s">
        <v>67</v>
      </c>
      <c r="B26" s="36" t="s">
        <v>59</v>
      </c>
      <c r="C26" s="36" t="s">
        <v>47</v>
      </c>
      <c r="D26" s="36">
        <f>D27*D28</f>
        <v>3606.25</v>
      </c>
      <c r="E26" s="36" t="s">
        <v>49</v>
      </c>
    </row>
    <row r="27" spans="1:5" x14ac:dyDescent="0.25">
      <c r="A27" s="36"/>
      <c r="B27" s="36"/>
      <c r="C27" s="36" t="s">
        <v>48</v>
      </c>
      <c r="D27" s="36">
        <f>(D14*(E14/2)^2/2+(D13/2+E14/2)*(D13*E13))/(D13*E13+0.5*D14*E14)</f>
        <v>23.266129032258064</v>
      </c>
      <c r="E27" s="36" t="s">
        <v>45</v>
      </c>
    </row>
    <row r="28" spans="1:5" x14ac:dyDescent="0.25">
      <c r="A28" s="36"/>
      <c r="B28" s="36"/>
      <c r="C28" s="36" t="s">
        <v>60</v>
      </c>
      <c r="D28" s="36">
        <f>D14*E14+2*D13*E13</f>
        <v>155</v>
      </c>
      <c r="E28" s="36"/>
    </row>
    <row r="29" spans="1:5" x14ac:dyDescent="0.25">
      <c r="A29" s="36"/>
      <c r="B29" s="36"/>
      <c r="C29" s="36" t="s">
        <v>61</v>
      </c>
      <c r="D29" s="36">
        <f>D28*0.7833</f>
        <v>121.4115</v>
      </c>
      <c r="E29" s="36" t="s">
        <v>62</v>
      </c>
    </row>
    <row r="30" spans="1:5" x14ac:dyDescent="0.25">
      <c r="A30" s="36"/>
      <c r="B30" s="36"/>
      <c r="C30" s="36" t="s">
        <v>54</v>
      </c>
      <c r="D30" s="36">
        <f>0.9*D26*2400</f>
        <v>7789500</v>
      </c>
      <c r="E30" s="36" t="s">
        <v>55</v>
      </c>
    </row>
    <row r="31" spans="1:5" x14ac:dyDescent="0.25">
      <c r="A31" s="36"/>
      <c r="B31" s="36"/>
      <c r="C31" s="36"/>
      <c r="D31" s="36"/>
      <c r="E31" s="36"/>
    </row>
    <row r="32" spans="1:5" x14ac:dyDescent="0.25">
      <c r="A32" s="36"/>
      <c r="B32" s="36"/>
      <c r="C32" s="36" t="s">
        <v>63</v>
      </c>
      <c r="D32" s="36">
        <f>1.25*G8*((6-2.375-2.5)/6+(6-2.5)/6)</f>
        <v>13939.597439236111</v>
      </c>
      <c r="E32" s="36"/>
    </row>
    <row r="33" spans="1:5" x14ac:dyDescent="0.25">
      <c r="A33" s="36"/>
      <c r="B33" s="36"/>
      <c r="C33" s="36"/>
      <c r="D33" s="36"/>
      <c r="E33" s="36"/>
    </row>
    <row r="34" spans="1:5" x14ac:dyDescent="0.25">
      <c r="A34" s="36" t="s">
        <v>68</v>
      </c>
      <c r="B34" s="36" t="s">
        <v>59</v>
      </c>
      <c r="C34" s="36" t="s">
        <v>47</v>
      </c>
      <c r="D34" s="36">
        <f>D35*D28</f>
        <v>1305</v>
      </c>
      <c r="E34" s="36" t="s">
        <v>49</v>
      </c>
    </row>
    <row r="35" spans="1:5" x14ac:dyDescent="0.25">
      <c r="A35" s="36"/>
      <c r="B35" s="36"/>
      <c r="C35" s="36" t="s">
        <v>48</v>
      </c>
      <c r="D35" s="36">
        <f>(E14*D14*D14*0.5+E13*D13*E13*0.5)/(0.5*D28)</f>
        <v>8.4193548387096779</v>
      </c>
      <c r="E35" s="36" t="s">
        <v>45</v>
      </c>
    </row>
    <row r="36" spans="1:5" x14ac:dyDescent="0.25">
      <c r="A36" s="36"/>
      <c r="B36" s="36"/>
      <c r="C36" s="36" t="s">
        <v>54</v>
      </c>
      <c r="D36" s="36">
        <f>0.9*D34*2400</f>
        <v>2818800</v>
      </c>
      <c r="E36" s="36" t="s">
        <v>55</v>
      </c>
    </row>
  </sheetData>
  <sheetProtection algorithmName="SHA-512" hashValue="GYScBvHwtp8cwAoSFB2uvqYNFkke89y1Fjz2ujVEzvaQBP9Ln9JaMjtFTKofpj1QLJWFFwHAUhLHg1BveHQ5JQ==" saltValue="xNvfPy1oAkIDpb1Goq2fKQ==" spinCount="100000" sheet="1" objects="1" scenarios="1" selectLockedCells="1"/>
  <dataValidations count="1">
    <dataValidation type="list" allowBlank="1" showInputMessage="1" showErrorMessage="1" sqref="D8">
      <formula1>$L$6:$L$8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 TON</vt:lpstr>
      <vt:lpstr>10 TON</vt:lpstr>
      <vt:lpstr>20 TON</vt:lpstr>
      <vt:lpstr>Bracket &amp; Runway Beam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</dc:creator>
  <cp:lastModifiedBy>N.S</cp:lastModifiedBy>
  <dcterms:created xsi:type="dcterms:W3CDTF">2019-03-25T13:35:50Z</dcterms:created>
  <dcterms:modified xsi:type="dcterms:W3CDTF">2019-05-02T21:10:19Z</dcterms:modified>
</cp:coreProperties>
</file>