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8130"/>
  </bookViews>
  <sheets>
    <sheet name="LRFD-93 IRAN CODE" sheetId="3" r:id="rId1"/>
    <sheet name="Tables" sheetId="4" r:id="rId2"/>
  </sheets>
  <calcPr calcId="145621"/>
</workbook>
</file>

<file path=xl/calcChain.xml><?xml version="1.0" encoding="utf-8"?>
<calcChain xmlns="http://schemas.openxmlformats.org/spreadsheetml/2006/main">
  <c r="E31" i="3" l="1"/>
  <c r="E15" i="3" l="1"/>
  <c r="E66" i="3"/>
  <c r="E41" i="3"/>
  <c r="E17" i="3"/>
  <c r="D88" i="3" l="1"/>
  <c r="D76" i="3"/>
  <c r="I18" i="3"/>
  <c r="D89" i="3" s="1"/>
  <c r="H76" i="3"/>
  <c r="E74" i="3"/>
  <c r="E86" i="3"/>
  <c r="E85" i="3"/>
  <c r="E73" i="3"/>
  <c r="H87" i="3" s="1"/>
  <c r="E58" i="3"/>
  <c r="E47" i="3"/>
  <c r="E48" i="3"/>
  <c r="E9" i="3"/>
  <c r="E11" i="3" s="1"/>
  <c r="I15" i="3"/>
  <c r="I14" i="3"/>
  <c r="E12" i="3" s="1"/>
  <c r="E13" i="3" s="1"/>
  <c r="D87" i="3" l="1"/>
  <c r="D77" i="3"/>
  <c r="E10" i="3"/>
  <c r="E52" i="3"/>
  <c r="E63" i="3"/>
  <c r="H75" i="3"/>
  <c r="E16" i="3"/>
  <c r="E51" i="3"/>
  <c r="D75" i="3"/>
  <c r="E18" i="3" l="1"/>
  <c r="E19" i="3" s="1"/>
  <c r="E49" i="3" s="1"/>
  <c r="E53" i="3" l="1"/>
  <c r="E62" i="3"/>
  <c r="E65" i="3" s="1"/>
  <c r="E64" i="3"/>
  <c r="E20" i="3"/>
  <c r="E39" i="3" s="1"/>
  <c r="E40" i="3" s="1"/>
  <c r="E25" i="3" l="1"/>
  <c r="E26" i="3"/>
  <c r="E36" i="3"/>
  <c r="D90" i="3" s="1"/>
  <c r="E35" i="3"/>
  <c r="E67" i="3"/>
  <c r="E55" i="3"/>
  <c r="E29" i="3"/>
  <c r="E56" i="3" l="1"/>
  <c r="E57" i="3"/>
  <c r="E30" i="3"/>
  <c r="E59" i="3" l="1"/>
</calcChain>
</file>

<file path=xl/comments1.xml><?xml version="1.0" encoding="utf-8"?>
<comments xmlns="http://schemas.openxmlformats.org/spreadsheetml/2006/main">
  <authors>
    <author>matin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 xml:space="preserve">matin:
</t>
        </r>
        <r>
          <rPr>
            <sz val="9"/>
            <color indexed="81"/>
            <rFont val="Tahoma"/>
            <family val="2"/>
          </rPr>
          <t>سطح بارگیر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طول ورق زیرسری یا روسری هر کدام بزرگتر است
به طور فرضی =
1.5d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قوطی و لوله نورد شده =1.25
سایر مقاطع نوردشده =1.2
ورق و تسمه = 1.15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(1.2D+1Live+0.2S)
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Fu الکترود
بر حسب Mpa
جدول صفحه بعد مطالعه شود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Fu الکترود
بر حسب Mpa
جدول صفحه بعد مطالعه شود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 xml:space="preserve">matin:
</t>
        </r>
        <r>
          <rPr>
            <sz val="9"/>
            <color indexed="81"/>
            <rFont val="Tahoma"/>
            <family val="2"/>
          </rPr>
          <t>Vu = φ*Rn --&gt; twp=</t>
        </r>
        <r>
          <rPr>
            <sz val="9"/>
            <color indexed="81"/>
            <rFont val="Tahoma"/>
            <family val="2"/>
          </rPr>
          <t xml:space="preserve">
در صورتی که از دو ورق استفاده شود ضریب 2 در مخرج قرار گیرد
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در صورتی که از دو ورق استفاده شود نیرو نصف می شود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Fu الکترود
بر حسب Mpa
جدول صفحه بعد مطالعه شود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بعد جوش گوشه به جان تیر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در صورتی که از دو ورق استفاده شود نیرو نصف می شود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Fu الکترود
بر حسب Mpa
جدول صفحه بعد مطالعه شود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قوطی و لوله نورد شده =1.25
سایر مقاطع نوردشده =1.2
ورق و تسمه = 1.15</t>
        </r>
      </text>
    </comment>
    <comment ref="E73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قوطی و لوله نورد شده =1.25
سایر مقاطع نوردشده =1.2
ورق و تسمه = 1.15</t>
        </r>
      </text>
    </comment>
    <comment ref="H75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سمت راست نامساوی
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اگر هر دو رابطه نیاز به ورق پیوستگی نداشتند احتیاج به ورق پیوستگی نمی باشد</t>
        </r>
      </text>
    </comment>
    <comment ref="H76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سمت راست نامساوی</t>
        </r>
      </text>
    </comment>
    <comment ref="E83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قوطی و لوله نورد شده =1.25
سایر مقاطع نوردشده =1.2
ورق و تسمه = 1.15</t>
        </r>
      </text>
    </comment>
    <comment ref="E85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قوطی و لوله نورد شده =1.25
سایر مقاطع نوردشده =1.2
ورق و تسمه = 1.15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matin:</t>
        </r>
        <r>
          <rPr>
            <sz val="9"/>
            <color indexed="81"/>
            <rFont val="Tahoma"/>
            <family val="2"/>
          </rPr>
          <t xml:space="preserve">
اگر هر دو رابطه نیاز به ورق پیوستگی نداشتند احتیاج به ورق پیوستگی نمی باشد</t>
        </r>
      </text>
    </comment>
  </commentList>
</comments>
</file>

<file path=xl/sharedStrings.xml><?xml version="1.0" encoding="utf-8"?>
<sst xmlns="http://schemas.openxmlformats.org/spreadsheetml/2006/main" count="143" uniqueCount="91">
  <si>
    <t>d=</t>
  </si>
  <si>
    <t>Lh=</t>
  </si>
  <si>
    <t>Zb=</t>
  </si>
  <si>
    <t>kg,m</t>
  </si>
  <si>
    <t>تحلیل</t>
  </si>
  <si>
    <t>طراحی ورق زیرسری</t>
  </si>
  <si>
    <t>عرض ورق</t>
  </si>
  <si>
    <t>نیروی محوری در ورق</t>
  </si>
  <si>
    <t>T,cm</t>
  </si>
  <si>
    <t>بعد جوش</t>
  </si>
  <si>
    <t>طول جوش کل</t>
  </si>
  <si>
    <t>طول ورق</t>
  </si>
  <si>
    <t>طراحی ورق روسری</t>
  </si>
  <si>
    <t>ضریب بازرسی جوش</t>
  </si>
  <si>
    <t>طراحی ورق جان</t>
  </si>
  <si>
    <t>Ix=</t>
  </si>
  <si>
    <t>طول تیر</t>
  </si>
  <si>
    <t>اساس مقطع پلاستیک تیر</t>
  </si>
  <si>
    <t xml:space="preserve"> </t>
  </si>
  <si>
    <t>M=</t>
  </si>
  <si>
    <t>T=</t>
  </si>
  <si>
    <t>عرض موثر ورق</t>
  </si>
  <si>
    <t>عرض انتهائی ورق</t>
  </si>
  <si>
    <t>bf=</t>
  </si>
  <si>
    <t>tf=</t>
  </si>
  <si>
    <t>hw=</t>
  </si>
  <si>
    <t>tw=</t>
  </si>
  <si>
    <t>&gt; Ix</t>
  </si>
  <si>
    <t>&gt; Iy</t>
  </si>
  <si>
    <t>Sx=</t>
  </si>
  <si>
    <t>مشخصات مقطع تیر</t>
  </si>
  <si>
    <t>kg</t>
  </si>
  <si>
    <t>kg.m</t>
  </si>
  <si>
    <t>cm</t>
  </si>
  <si>
    <t>Ry=</t>
  </si>
  <si>
    <t>Cpr=</t>
  </si>
  <si>
    <t>fy=</t>
  </si>
  <si>
    <t>fu=</t>
  </si>
  <si>
    <t>Mpr=</t>
  </si>
  <si>
    <t>Vpr=</t>
  </si>
  <si>
    <t>L beam=</t>
  </si>
  <si>
    <t>qu=</t>
  </si>
  <si>
    <t>Vu=</t>
  </si>
  <si>
    <t>m^3</t>
  </si>
  <si>
    <t>m</t>
  </si>
  <si>
    <t>Mu=</t>
  </si>
  <si>
    <t>sh=</t>
  </si>
  <si>
    <r>
      <rPr>
        <sz val="11"/>
        <color theme="1"/>
        <rFont val="Arial"/>
        <family val="2"/>
      </rPr>
      <t>φ</t>
    </r>
    <r>
      <rPr>
        <sz val="11"/>
        <color theme="1"/>
        <rFont val="B Mitra"/>
        <charset val="178"/>
      </rPr>
      <t>*Rn=</t>
    </r>
  </si>
  <si>
    <t>Fue</t>
  </si>
  <si>
    <t>Lw=</t>
  </si>
  <si>
    <t>Lpl=</t>
  </si>
  <si>
    <t>mm</t>
  </si>
  <si>
    <t>1/mm^2</t>
  </si>
  <si>
    <t>ton</t>
  </si>
  <si>
    <t>twp=</t>
  </si>
  <si>
    <t>bwp=</t>
  </si>
  <si>
    <t>Lwp=</t>
  </si>
  <si>
    <t>x=</t>
  </si>
  <si>
    <t>Ip=</t>
  </si>
  <si>
    <t>طراحی بعد جوش ورق به جان تیر</t>
  </si>
  <si>
    <t>a1=</t>
  </si>
  <si>
    <t>1/cm^2</t>
  </si>
  <si>
    <t>bw=</t>
  </si>
  <si>
    <t>طراحی بعد جوش ورق به جان ستون</t>
  </si>
  <si>
    <t>kg.cm</t>
  </si>
  <si>
    <t>cm^4</t>
  </si>
  <si>
    <t>(kg/cm)^2</t>
  </si>
  <si>
    <t>a2=</t>
  </si>
  <si>
    <t>ضریب2پشت نامساوی برای این است که طبق آئین نامه استفاده از جوش دوطرفه برای حالتی که از ورق تکی جان استفاده می شود الزامی است</t>
  </si>
  <si>
    <t>tcf=</t>
  </si>
  <si>
    <t>Ryc=</t>
  </si>
  <si>
    <t>Ryb=</t>
  </si>
  <si>
    <t>Fyc=</t>
  </si>
  <si>
    <t>Fyb=</t>
  </si>
  <si>
    <t>طراحی لزوم وجود سخت کننده در جان ستون H</t>
  </si>
  <si>
    <t>طراحی لزوم وجود سخت کننده در جان ستون Box</t>
  </si>
  <si>
    <t>bcf=</t>
  </si>
  <si>
    <t>ضخامت ورق پیوستگی نباید از نصف ضخامت بال تیر یا نصف ضخامت ورق روسری و زیرسری کمتر درنظر گرفته شود</t>
  </si>
  <si>
    <t>جوش ورق پیوستگی به ستون به صورت شیاری با نفوذ کامل باشد. در صورتیکه ضخامت ورق پیوستگی کوچکترمساوی 10میل باشد گوشه دوطرفه نیز مجاز است</t>
  </si>
  <si>
    <t>E=</t>
  </si>
  <si>
    <t>مشخصات ابعادی ورق پیوستگی</t>
  </si>
  <si>
    <t>bpl=</t>
  </si>
  <si>
    <t>tpl=</t>
  </si>
  <si>
    <r>
      <t xml:space="preserve">در صورتی که از ورق پیوستگی در جان ستون استفاده </t>
    </r>
    <r>
      <rPr>
        <i/>
        <u/>
        <sz val="11"/>
        <color theme="4" tint="-0.499984740745262"/>
        <rFont val="Arial"/>
        <family val="2"/>
        <scheme val="minor"/>
      </rPr>
      <t>نشود</t>
    </r>
    <r>
      <rPr>
        <sz val="11"/>
        <color theme="4" tint="-0.499984740745262"/>
        <rFont val="Arial"/>
        <family val="2"/>
        <charset val="178"/>
        <scheme val="minor"/>
      </rPr>
      <t xml:space="preserve"> کنترل تسلیم موضعی جان ستون، لهیدگی جان ستون و کمانش فشاری جان ستون باید انجام گیرد</t>
    </r>
  </si>
  <si>
    <t>طراحی اتصال گیردار بر طبق روش LRFD</t>
  </si>
  <si>
    <t>kg/m^2</t>
  </si>
  <si>
    <t>min t cp</t>
  </si>
  <si>
    <r>
      <t>DL(kg/m</t>
    </r>
    <r>
      <rPr>
        <sz val="11"/>
        <color theme="1"/>
        <rFont val="Arial"/>
        <family val="2"/>
      </rPr>
      <t>²)</t>
    </r>
    <r>
      <rPr>
        <sz val="11"/>
        <color theme="1"/>
        <rFont val="B Mitra"/>
        <charset val="178"/>
      </rPr>
      <t>=</t>
    </r>
  </si>
  <si>
    <t>LL(kg/m²)=</t>
  </si>
  <si>
    <t>w(m)=</t>
  </si>
  <si>
    <t>ضخامت ورق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</si>
</sst>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B Mitra"/>
      <charset val="178"/>
    </font>
    <font>
      <sz val="11"/>
      <color theme="1"/>
      <name val="Arial"/>
      <family val="2"/>
      <scheme val="minor"/>
    </font>
    <font>
      <sz val="11"/>
      <color theme="0"/>
      <name val="B Mitra"/>
      <charset val="178"/>
    </font>
    <font>
      <sz val="11"/>
      <color rgb="FFFF0000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24"/>
      <color rgb="FFFF0000"/>
      <name val="IranNastaliq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4" tint="-0.499984740745262"/>
      <name val="Arial"/>
      <family val="2"/>
      <charset val="178"/>
      <scheme val="minor"/>
    </font>
    <font>
      <i/>
      <u/>
      <sz val="11"/>
      <color theme="4" tint="-0.499984740745262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6" borderId="0" applyNumberFormat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right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3" fillId="0" borderId="8" xfId="0" applyFont="1" applyBorder="1"/>
    <xf numFmtId="0" fontId="3" fillId="2" borderId="6" xfId="0" applyFont="1" applyFill="1" applyBorder="1"/>
    <xf numFmtId="0" fontId="0" fillId="0" borderId="16" xfId="0" applyBorder="1"/>
    <xf numFmtId="0" fontId="3" fillId="0" borderId="0" xfId="0" applyFont="1"/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3" fillId="0" borderId="5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6" xfId="0" applyFont="1" applyBorder="1"/>
    <xf numFmtId="0" fontId="3" fillId="2" borderId="18" xfId="0" applyFont="1" applyFill="1" applyBorder="1"/>
    <xf numFmtId="0" fontId="0" fillId="0" borderId="9" xfId="0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3" borderId="20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3" fillId="4" borderId="20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7" fillId="0" borderId="0" xfId="0" applyNumberFormat="1" applyFont="1" applyBorder="1"/>
    <xf numFmtId="1" fontId="7" fillId="0" borderId="0" xfId="0" applyNumberFormat="1" applyFont="1" applyBorder="1"/>
    <xf numFmtId="2" fontId="9" fillId="0" borderId="5" xfId="0" applyNumberFormat="1" applyFont="1" applyBorder="1" applyAlignment="1">
      <alignment horizontal="left" vertical="center"/>
    </xf>
    <xf numFmtId="2" fontId="9" fillId="0" borderId="2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" fontId="7" fillId="0" borderId="24" xfId="0" applyNumberFormat="1" applyFont="1" applyBorder="1"/>
    <xf numFmtId="0" fontId="3" fillId="0" borderId="11" xfId="0" applyFont="1" applyBorder="1" applyAlignment="1">
      <alignment horizontal="right"/>
    </xf>
    <xf numFmtId="2" fontId="6" fillId="0" borderId="0" xfId="0" applyNumberFormat="1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/>
    <xf numFmtId="0" fontId="6" fillId="0" borderId="0" xfId="0" applyFont="1" applyBorder="1" applyAlignment="1">
      <alignment horizontal="left"/>
    </xf>
    <xf numFmtId="2" fontId="0" fillId="0" borderId="0" xfId="0" applyNumberFormat="1" applyFont="1"/>
    <xf numFmtId="0" fontId="3" fillId="0" borderId="0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8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right"/>
    </xf>
    <xf numFmtId="2" fontId="15" fillId="6" borderId="0" xfId="1" applyNumberFormat="1" applyBorder="1" applyAlignment="1">
      <alignment horizontal="right"/>
    </xf>
    <xf numFmtId="0" fontId="15" fillId="6" borderId="0" xfId="1"/>
    <xf numFmtId="0" fontId="15" fillId="6" borderId="0" xfId="1" applyBorder="1"/>
    <xf numFmtId="1" fontId="15" fillId="6" borderId="0" xfId="1" applyNumberFormat="1" applyBorder="1"/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indent="1"/>
    </xf>
    <xf numFmtId="0" fontId="13" fillId="5" borderId="7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 wrapText="1"/>
    </xf>
    <xf numFmtId="0" fontId="13" fillId="5" borderId="10" xfId="0" applyFont="1" applyFill="1" applyBorder="1" applyAlignment="1">
      <alignment horizontal="center" wrapText="1"/>
    </xf>
    <xf numFmtId="0" fontId="13" fillId="5" borderId="13" xfId="0" applyFont="1" applyFill="1" applyBorder="1" applyAlignment="1">
      <alignment horizontal="center" wrapText="1"/>
    </xf>
    <xf numFmtId="0" fontId="13" fillId="5" borderId="14" xfId="0" applyFont="1" applyFill="1" applyBorder="1" applyAlignment="1">
      <alignment horizontal="center" wrapText="1"/>
    </xf>
    <xf numFmtId="0" fontId="13" fillId="5" borderId="15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png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emf"/><Relationship Id="rId2" Type="http://schemas.openxmlformats.org/officeDocument/2006/relationships/image" Target="../media/image31.emf"/><Relationship Id="rId1" Type="http://schemas.openxmlformats.org/officeDocument/2006/relationships/image" Target="../media/image30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629479</xdr:colOff>
      <xdr:row>2</xdr:row>
      <xdr:rowOff>41413</xdr:rowOff>
    </xdr:from>
    <xdr:to>
      <xdr:col>7</xdr:col>
      <xdr:colOff>554936</xdr:colOff>
      <xdr:row>5</xdr:row>
      <xdr:rowOff>124239</xdr:rowOff>
    </xdr:to>
    <xdr:sp macro="" textlink="">
      <xdr:nvSpPr>
        <xdr:cNvPr id="3" name="TextBox 2"/>
        <xdr:cNvSpPr txBox="1"/>
      </xdr:nvSpPr>
      <xdr:spPr>
        <a:xfrm>
          <a:off x="2981740" y="405848"/>
          <a:ext cx="4646544" cy="629478"/>
        </a:xfrm>
        <a:prstGeom prst="rect">
          <a:avLst/>
        </a:prstGeom>
        <a:solidFill>
          <a:sysClr val="window" lastClr="FFFFFF"/>
        </a:solidFill>
        <a:ln>
          <a:noFill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2800">
              <a:ln>
                <a:solidFill>
                  <a:schemeClr val="accent5">
                    <a:lumMod val="50000"/>
                  </a:schemeClr>
                </a:solidFill>
              </a:ln>
              <a:solidFill>
                <a:srgbClr val="FF0000"/>
              </a:solidFill>
              <a:effectLst>
                <a:reflection blurRad="6350" stA="60000" endA="900" endPos="58000" dir="5400000" sy="-100000" algn="bl" rotWithShape="0"/>
              </a:effectLst>
              <a:latin typeface="IranNastaliq" pitchFamily="18" charset="0"/>
              <a:cs typeface="IranNastaliq" pitchFamily="18" charset="0"/>
            </a:rPr>
            <a:t> </a:t>
          </a:r>
          <a:r>
            <a:rPr lang="fa-IR" sz="2800">
              <a:ln>
                <a:solidFill>
                  <a:schemeClr val="accent5">
                    <a:lumMod val="50000"/>
                  </a:schemeClr>
                </a:solidFill>
              </a:ln>
              <a:solidFill>
                <a:srgbClr val="FF0000"/>
              </a:solidFill>
              <a:effectLst>
                <a:reflection blurRad="6350" stA="60000" endA="900" endPos="58000" dir="5400000" sy="-100000" algn="bl" rotWithShape="0"/>
              </a:effectLst>
              <a:latin typeface="IranNastaliq" pitchFamily="18" charset="0"/>
              <a:cs typeface="IranNastaliq" pitchFamily="18" charset="0"/>
            </a:rPr>
            <a:t>اطلاعاتی که باید توسط کاربر</a:t>
          </a:r>
          <a:r>
            <a:rPr lang="fa-IR" sz="2800" baseline="0">
              <a:ln>
                <a:solidFill>
                  <a:schemeClr val="accent5">
                    <a:lumMod val="50000"/>
                  </a:schemeClr>
                </a:solidFill>
              </a:ln>
              <a:solidFill>
                <a:srgbClr val="FF0000"/>
              </a:solidFill>
              <a:effectLst>
                <a:reflection blurRad="6350" stA="60000" endA="900" endPos="58000" dir="5400000" sy="-100000" algn="bl" rotWithShape="0"/>
              </a:effectLst>
              <a:latin typeface="IranNastaliq" pitchFamily="18" charset="0"/>
              <a:cs typeface="IranNastaliq" pitchFamily="18" charset="0"/>
            </a:rPr>
            <a:t> </a:t>
          </a:r>
          <a:r>
            <a:rPr lang="fa-IR" sz="2800">
              <a:ln>
                <a:solidFill>
                  <a:schemeClr val="accent5">
                    <a:lumMod val="50000"/>
                  </a:schemeClr>
                </a:solidFill>
              </a:ln>
              <a:solidFill>
                <a:srgbClr val="FF0000"/>
              </a:solidFill>
              <a:effectLst>
                <a:reflection blurRad="6350" stA="60000" endA="900" endPos="58000" dir="5400000" sy="-100000" algn="bl" rotWithShape="0"/>
              </a:effectLst>
              <a:latin typeface="IranNastaliq" pitchFamily="18" charset="0"/>
              <a:cs typeface="IranNastaliq" pitchFamily="18" charset="0"/>
            </a:rPr>
            <a:t>وارد شود با رنگ قرمز </a:t>
          </a:r>
          <a:r>
            <a:rPr lang="fa-IR" sz="2800" baseline="0">
              <a:ln>
                <a:solidFill>
                  <a:schemeClr val="accent5">
                    <a:lumMod val="50000"/>
                  </a:schemeClr>
                </a:solidFill>
              </a:ln>
              <a:solidFill>
                <a:srgbClr val="FF0000"/>
              </a:solidFill>
              <a:effectLst>
                <a:reflection blurRad="6350" stA="60000" endA="900" endPos="58000" dir="5400000" sy="-100000" algn="bl" rotWithShape="0"/>
              </a:effectLst>
              <a:latin typeface="IranNastaliq" pitchFamily="18" charset="0"/>
              <a:cs typeface="IranNastaliq" pitchFamily="18" charset="0"/>
            </a:rPr>
            <a:t> </a:t>
          </a:r>
          <a:r>
            <a:rPr lang="fa-IR" sz="2800">
              <a:ln>
                <a:solidFill>
                  <a:schemeClr val="accent5">
                    <a:lumMod val="50000"/>
                  </a:schemeClr>
                </a:solidFill>
              </a:ln>
              <a:solidFill>
                <a:srgbClr val="FF0000"/>
              </a:solidFill>
              <a:effectLst>
                <a:reflection blurRad="6350" stA="60000" endA="900" endPos="58000" dir="5400000" sy="-100000" algn="bl" rotWithShape="0"/>
              </a:effectLst>
              <a:latin typeface="IranNastaliq" pitchFamily="18" charset="0"/>
              <a:cs typeface="IranNastaliq" pitchFamily="18" charset="0"/>
            </a:rPr>
            <a:t>نشان داده شده اند</a:t>
          </a:r>
          <a:endParaRPr lang="en-US" sz="2800">
            <a:ln>
              <a:solidFill>
                <a:schemeClr val="accent5">
                  <a:lumMod val="50000"/>
                </a:schemeClr>
              </a:solidFill>
            </a:ln>
            <a:solidFill>
              <a:srgbClr val="FF0000"/>
            </a:solidFill>
            <a:effectLst>
              <a:reflection blurRad="6350" stA="60000" endA="900" endPos="58000" dir="5400000" sy="-100000" algn="bl" rotWithShape="0"/>
            </a:effectLst>
            <a:latin typeface="IranNastaliq" pitchFamily="18" charset="0"/>
            <a:cs typeface="IranNastaliq" pitchFamily="18" charset="0"/>
          </a:endParaRPr>
        </a:p>
      </xdr:txBody>
    </xdr:sp>
    <xdr:clientData/>
  </xdr:twoCellAnchor>
  <xdr:twoCellAnchor>
    <xdr:from>
      <xdr:col>2</xdr:col>
      <xdr:colOff>419100</xdr:colOff>
      <xdr:row>12</xdr:row>
      <xdr:rowOff>85725</xdr:rowOff>
    </xdr:from>
    <xdr:to>
      <xdr:col>3</xdr:col>
      <xdr:colOff>342900</xdr:colOff>
      <xdr:row>12</xdr:row>
      <xdr:rowOff>87313</xdr:rowOff>
    </xdr:to>
    <xdr:cxnSp macro="">
      <xdr:nvCxnSpPr>
        <xdr:cNvPr id="2" name="Straight Arrow Connector 1"/>
        <xdr:cNvCxnSpPr/>
      </xdr:nvCxnSpPr>
      <xdr:spPr>
        <a:xfrm>
          <a:off x="419100" y="1181100"/>
          <a:ext cx="54292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8</xdr:row>
      <xdr:rowOff>38100</xdr:rowOff>
    </xdr:from>
    <xdr:to>
      <xdr:col>1</xdr:col>
      <xdr:colOff>173355</xdr:colOff>
      <xdr:row>9</xdr:row>
      <xdr:rowOff>215347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50"/>
          <a:ext cx="2526030" cy="4000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2200275</xdr:colOff>
      <xdr:row>8</xdr:row>
      <xdr:rowOff>76200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2200275" cy="5143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9</xdr:row>
      <xdr:rowOff>180975</xdr:rowOff>
    </xdr:from>
    <xdr:to>
      <xdr:col>2</xdr:col>
      <xdr:colOff>190500</xdr:colOff>
      <xdr:row>17</xdr:row>
      <xdr:rowOff>9526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838200"/>
          <a:ext cx="3228975" cy="15811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16</xdr:row>
      <xdr:rowOff>198783</xdr:rowOff>
    </xdr:from>
    <xdr:to>
      <xdr:col>2</xdr:col>
      <xdr:colOff>457200</xdr:colOff>
      <xdr:row>19</xdr:row>
      <xdr:rowOff>2486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3081131"/>
          <a:ext cx="3496917" cy="449746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19</xdr:row>
      <xdr:rowOff>95250</xdr:rowOff>
    </xdr:from>
    <xdr:to>
      <xdr:col>0</xdr:col>
      <xdr:colOff>2009775</xdr:colOff>
      <xdr:row>29</xdr:row>
      <xdr:rowOff>95249</xdr:rowOff>
    </xdr:to>
    <xdr:pic>
      <xdr:nvPicPr>
        <xdr:cNvPr id="30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2943225"/>
          <a:ext cx="2009775" cy="220980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800100</xdr:colOff>
      <xdr:row>18</xdr:row>
      <xdr:rowOff>190500</xdr:rowOff>
    </xdr:from>
    <xdr:to>
      <xdr:col>1</xdr:col>
      <xdr:colOff>190500</xdr:colOff>
      <xdr:row>21</xdr:row>
      <xdr:rowOff>38100</xdr:rowOff>
    </xdr:to>
    <xdr:pic>
      <xdr:nvPicPr>
        <xdr:cNvPr id="30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2819400"/>
          <a:ext cx="1743075" cy="5143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5</xdr:col>
      <xdr:colOff>571500</xdr:colOff>
      <xdr:row>18</xdr:row>
      <xdr:rowOff>91109</xdr:rowOff>
    </xdr:from>
    <xdr:to>
      <xdr:col>8</xdr:col>
      <xdr:colOff>94422</xdr:colOff>
      <xdr:row>20</xdr:row>
      <xdr:rowOff>74543</xdr:rowOff>
    </xdr:to>
    <xdr:pic>
      <xdr:nvPicPr>
        <xdr:cNvPr id="308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l="4150" t="21049" b="10831"/>
        <a:stretch>
          <a:fillRect/>
        </a:stretch>
      </xdr:blipFill>
      <xdr:spPr bwMode="auto">
        <a:xfrm>
          <a:off x="6261652" y="2675283"/>
          <a:ext cx="2372139" cy="41413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2070652</xdr:colOff>
      <xdr:row>24</xdr:row>
      <xdr:rowOff>107673</xdr:rowOff>
    </xdr:from>
    <xdr:to>
      <xdr:col>2</xdr:col>
      <xdr:colOff>488674</xdr:colOff>
      <xdr:row>26</xdr:row>
      <xdr:rowOff>132522</xdr:rowOff>
    </xdr:to>
    <xdr:pic>
      <xdr:nvPicPr>
        <xdr:cNvPr id="308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l="3200" t="16579" r="5229" b="10766"/>
        <a:stretch>
          <a:fillRect/>
        </a:stretch>
      </xdr:blipFill>
      <xdr:spPr bwMode="auto">
        <a:xfrm>
          <a:off x="2070652" y="5110369"/>
          <a:ext cx="1457739" cy="455544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2061956</xdr:colOff>
      <xdr:row>27</xdr:row>
      <xdr:rowOff>115957</xdr:rowOff>
    </xdr:from>
    <xdr:to>
      <xdr:col>2</xdr:col>
      <xdr:colOff>423656</xdr:colOff>
      <xdr:row>29</xdr:row>
      <xdr:rowOff>99391</xdr:rowOff>
    </xdr:to>
    <xdr:pic>
      <xdr:nvPicPr>
        <xdr:cNvPr id="309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 t="11446" b="11214"/>
        <a:stretch>
          <a:fillRect/>
        </a:stretch>
      </xdr:blipFill>
      <xdr:spPr bwMode="auto">
        <a:xfrm>
          <a:off x="2061956" y="5764696"/>
          <a:ext cx="1401417" cy="41413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30</xdr:row>
      <xdr:rowOff>66675</xdr:rowOff>
    </xdr:from>
    <xdr:to>
      <xdr:col>2</xdr:col>
      <xdr:colOff>533400</xdr:colOff>
      <xdr:row>33</xdr:row>
      <xdr:rowOff>26090</xdr:rowOff>
    </xdr:to>
    <xdr:pic>
      <xdr:nvPicPr>
        <xdr:cNvPr id="309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5343525"/>
          <a:ext cx="3571875" cy="6286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2032138</xdr:colOff>
      <xdr:row>34</xdr:row>
      <xdr:rowOff>4970</xdr:rowOff>
    </xdr:from>
    <xdr:to>
      <xdr:col>2</xdr:col>
      <xdr:colOff>546238</xdr:colOff>
      <xdr:row>36</xdr:row>
      <xdr:rowOff>128795</xdr:rowOff>
    </xdr:to>
    <xdr:pic>
      <xdr:nvPicPr>
        <xdr:cNvPr id="30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032138" y="7194274"/>
          <a:ext cx="1553817" cy="554521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2033795</xdr:colOff>
      <xdr:row>36</xdr:row>
      <xdr:rowOff>207066</xdr:rowOff>
    </xdr:from>
    <xdr:to>
      <xdr:col>2</xdr:col>
      <xdr:colOff>395495</xdr:colOff>
      <xdr:row>38</xdr:row>
      <xdr:rowOff>173934</xdr:rowOff>
    </xdr:to>
    <xdr:pic>
      <xdr:nvPicPr>
        <xdr:cNvPr id="1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 t="12695" b="12539"/>
        <a:stretch>
          <a:fillRect/>
        </a:stretch>
      </xdr:blipFill>
      <xdr:spPr bwMode="auto">
        <a:xfrm>
          <a:off x="2033795" y="7827066"/>
          <a:ext cx="1401417" cy="397564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2038350</xdr:colOff>
      <xdr:row>39</xdr:row>
      <xdr:rowOff>38100</xdr:rowOff>
    </xdr:from>
    <xdr:to>
      <xdr:col>2</xdr:col>
      <xdr:colOff>514350</xdr:colOff>
      <xdr:row>41</xdr:row>
      <xdr:rowOff>161925</xdr:rowOff>
    </xdr:to>
    <xdr:pic>
      <xdr:nvPicPr>
        <xdr:cNvPr id="30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038350" y="7315200"/>
          <a:ext cx="1514475" cy="56197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53423</xdr:colOff>
      <xdr:row>42</xdr:row>
      <xdr:rowOff>49696</xdr:rowOff>
    </xdr:from>
    <xdr:to>
      <xdr:col>5</xdr:col>
      <xdr:colOff>992671</xdr:colOff>
      <xdr:row>44</xdr:row>
      <xdr:rowOff>0</xdr:rowOff>
    </xdr:to>
    <xdr:pic>
      <xdr:nvPicPr>
        <xdr:cNvPr id="30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 t="16895" b="9348"/>
        <a:stretch>
          <a:fillRect/>
        </a:stretch>
      </xdr:blipFill>
      <xdr:spPr bwMode="auto">
        <a:xfrm>
          <a:off x="3093140" y="8978348"/>
          <a:ext cx="3722205" cy="356152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41</xdr:row>
      <xdr:rowOff>72887</xdr:rowOff>
    </xdr:from>
    <xdr:to>
      <xdr:col>0</xdr:col>
      <xdr:colOff>2162175</xdr:colOff>
      <xdr:row>50</xdr:row>
      <xdr:rowOff>182218</xdr:rowOff>
    </xdr:to>
    <xdr:pic>
      <xdr:nvPicPr>
        <xdr:cNvPr id="309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 r="41344"/>
        <a:stretch>
          <a:fillRect/>
        </a:stretch>
      </xdr:blipFill>
      <xdr:spPr bwMode="auto">
        <a:xfrm>
          <a:off x="0" y="7692887"/>
          <a:ext cx="2162175" cy="2072309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50</xdr:row>
      <xdr:rowOff>180976</xdr:rowOff>
    </xdr:from>
    <xdr:to>
      <xdr:col>0</xdr:col>
      <xdr:colOff>1806519</xdr:colOff>
      <xdr:row>56</xdr:row>
      <xdr:rowOff>219075</xdr:rowOff>
    </xdr:to>
    <xdr:pic>
      <xdr:nvPicPr>
        <xdr:cNvPr id="309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9886951"/>
          <a:ext cx="1806519" cy="1800224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605045</xdr:colOff>
      <xdr:row>48</xdr:row>
      <xdr:rowOff>151157</xdr:rowOff>
    </xdr:from>
    <xdr:to>
      <xdr:col>3</xdr:col>
      <xdr:colOff>214934</xdr:colOff>
      <xdr:row>51</xdr:row>
      <xdr:rowOff>34373</xdr:rowOff>
    </xdr:to>
    <xdr:pic>
      <xdr:nvPicPr>
        <xdr:cNvPr id="310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2957306" y="9344853"/>
          <a:ext cx="1208432" cy="504411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1643268</xdr:colOff>
      <xdr:row>51</xdr:row>
      <xdr:rowOff>98150</xdr:rowOff>
    </xdr:from>
    <xdr:to>
      <xdr:col>3</xdr:col>
      <xdr:colOff>424482</xdr:colOff>
      <xdr:row>53</xdr:row>
      <xdr:rowOff>148259</xdr:rowOff>
    </xdr:to>
    <xdr:pic>
      <xdr:nvPicPr>
        <xdr:cNvPr id="310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643268" y="10658476"/>
          <a:ext cx="2732018" cy="49737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5</xdr:col>
      <xdr:colOff>466725</xdr:colOff>
      <xdr:row>51</xdr:row>
      <xdr:rowOff>114300</xdr:rowOff>
    </xdr:from>
    <xdr:to>
      <xdr:col>7</xdr:col>
      <xdr:colOff>153643</xdr:colOff>
      <xdr:row>52</xdr:row>
      <xdr:rowOff>190499</xdr:rowOff>
    </xdr:to>
    <xdr:pic>
      <xdr:nvPicPr>
        <xdr:cNvPr id="310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 t="45614"/>
        <a:stretch>
          <a:fillRect/>
        </a:stretch>
      </xdr:blipFill>
      <xdr:spPr bwMode="auto">
        <a:xfrm>
          <a:off x="6048375" y="9810750"/>
          <a:ext cx="1628775" cy="29527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30040</xdr:colOff>
      <xdr:row>54</xdr:row>
      <xdr:rowOff>9525</xdr:rowOff>
    </xdr:from>
    <xdr:to>
      <xdr:col>3</xdr:col>
      <xdr:colOff>778565</xdr:colOff>
      <xdr:row>54</xdr:row>
      <xdr:rowOff>409575</xdr:rowOff>
    </xdr:to>
    <xdr:pic>
      <xdr:nvPicPr>
        <xdr:cNvPr id="310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l="6673" t="38095" r="74020" b="21905"/>
        <a:stretch>
          <a:fillRect/>
        </a:stretch>
      </xdr:blipFill>
      <xdr:spPr bwMode="auto">
        <a:xfrm>
          <a:off x="3848323" y="11232460"/>
          <a:ext cx="748525" cy="4000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85725</xdr:colOff>
      <xdr:row>55</xdr:row>
      <xdr:rowOff>19050</xdr:rowOff>
    </xdr:from>
    <xdr:to>
      <xdr:col>3</xdr:col>
      <xdr:colOff>685800</xdr:colOff>
      <xdr:row>55</xdr:row>
      <xdr:rowOff>446942</xdr:rowOff>
    </xdr:to>
    <xdr:pic>
      <xdr:nvPicPr>
        <xdr:cNvPr id="2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l="30221" t="36190" r="54300" b="20953"/>
        <a:stretch>
          <a:fillRect/>
        </a:stretch>
      </xdr:blipFill>
      <xdr:spPr bwMode="auto">
        <a:xfrm>
          <a:off x="3971925" y="11010900"/>
          <a:ext cx="600075" cy="42862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126023</xdr:colOff>
      <xdr:row>56</xdr:row>
      <xdr:rowOff>38100</xdr:rowOff>
    </xdr:from>
    <xdr:to>
      <xdr:col>3</xdr:col>
      <xdr:colOff>628650</xdr:colOff>
      <xdr:row>56</xdr:row>
      <xdr:rowOff>496956</xdr:rowOff>
    </xdr:to>
    <xdr:pic>
      <xdr:nvPicPr>
        <xdr:cNvPr id="2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l="59516" t="22857" r="27518" b="20952"/>
        <a:stretch>
          <a:fillRect/>
        </a:stretch>
      </xdr:blipFill>
      <xdr:spPr bwMode="auto">
        <a:xfrm>
          <a:off x="4202723" y="11503269"/>
          <a:ext cx="502627" cy="45720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5</xdr:col>
      <xdr:colOff>847725</xdr:colOff>
      <xdr:row>55</xdr:row>
      <xdr:rowOff>38100</xdr:rowOff>
    </xdr:from>
    <xdr:to>
      <xdr:col>10</xdr:col>
      <xdr:colOff>368576</xdr:colOff>
      <xdr:row>56</xdr:row>
      <xdr:rowOff>485776</xdr:rowOff>
    </xdr:to>
    <xdr:pic>
      <xdr:nvPicPr>
        <xdr:cNvPr id="31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t="5714" b="4762"/>
        <a:stretch>
          <a:fillRect/>
        </a:stretch>
      </xdr:blipFill>
      <xdr:spPr bwMode="auto">
        <a:xfrm>
          <a:off x="6429375" y="11029950"/>
          <a:ext cx="3876675" cy="89535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407791</xdr:colOff>
      <xdr:row>61</xdr:row>
      <xdr:rowOff>43961</xdr:rowOff>
    </xdr:from>
    <xdr:to>
      <xdr:col>3</xdr:col>
      <xdr:colOff>398680</xdr:colOff>
      <xdr:row>61</xdr:row>
      <xdr:rowOff>317988</xdr:rowOff>
    </xdr:to>
    <xdr:pic>
      <xdr:nvPicPr>
        <xdr:cNvPr id="310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760052" y="12699787"/>
          <a:ext cx="1589432" cy="274027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674724</xdr:colOff>
      <xdr:row>62</xdr:row>
      <xdr:rowOff>41215</xdr:rowOff>
    </xdr:from>
    <xdr:to>
      <xdr:col>3</xdr:col>
      <xdr:colOff>394485</xdr:colOff>
      <xdr:row>62</xdr:row>
      <xdr:rowOff>355357</xdr:rowOff>
    </xdr:to>
    <xdr:pic>
      <xdr:nvPicPr>
        <xdr:cNvPr id="3109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 t="13940" b="16570"/>
        <a:stretch>
          <a:fillRect/>
        </a:stretch>
      </xdr:blipFill>
      <xdr:spPr bwMode="auto">
        <a:xfrm>
          <a:off x="3714441" y="13020063"/>
          <a:ext cx="630848" cy="314142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769327</xdr:colOff>
      <xdr:row>63</xdr:row>
      <xdr:rowOff>43005</xdr:rowOff>
    </xdr:from>
    <xdr:to>
      <xdr:col>3</xdr:col>
      <xdr:colOff>407759</xdr:colOff>
      <xdr:row>63</xdr:row>
      <xdr:rowOff>526582</xdr:rowOff>
    </xdr:to>
    <xdr:pic>
      <xdr:nvPicPr>
        <xdr:cNvPr id="311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l="6102" t="27429" r="75592" b="20847"/>
        <a:stretch>
          <a:fillRect/>
        </a:stretch>
      </xdr:blipFill>
      <xdr:spPr bwMode="auto">
        <a:xfrm>
          <a:off x="3809044" y="13394570"/>
          <a:ext cx="549519" cy="483577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5</xdr:col>
      <xdr:colOff>1018442</xdr:colOff>
      <xdr:row>63</xdr:row>
      <xdr:rowOff>223310</xdr:rowOff>
    </xdr:from>
    <xdr:to>
      <xdr:col>9</xdr:col>
      <xdr:colOff>251347</xdr:colOff>
      <xdr:row>64</xdr:row>
      <xdr:rowOff>443119</xdr:rowOff>
    </xdr:to>
    <xdr:pic>
      <xdr:nvPicPr>
        <xdr:cNvPr id="3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l="1269" t="6426" r="2075" b="5016"/>
        <a:stretch>
          <a:fillRect/>
        </a:stretch>
      </xdr:blipFill>
      <xdr:spPr bwMode="auto">
        <a:xfrm>
          <a:off x="6708594" y="13574875"/>
          <a:ext cx="2910383" cy="832722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526265</xdr:colOff>
      <xdr:row>63</xdr:row>
      <xdr:rowOff>602718</xdr:rowOff>
    </xdr:from>
    <xdr:to>
      <xdr:col>3</xdr:col>
      <xdr:colOff>422415</xdr:colOff>
      <xdr:row>65</xdr:row>
      <xdr:rowOff>45872</xdr:rowOff>
    </xdr:to>
    <xdr:pic>
      <xdr:nvPicPr>
        <xdr:cNvPr id="31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l="29875" t="16771" r="43276" b="14263"/>
        <a:stretch>
          <a:fillRect/>
        </a:stretch>
      </xdr:blipFill>
      <xdr:spPr bwMode="auto">
        <a:xfrm>
          <a:off x="3565982" y="13954283"/>
          <a:ext cx="807237" cy="644132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1209260</xdr:colOff>
      <xdr:row>73</xdr:row>
      <xdr:rowOff>99391</xdr:rowOff>
    </xdr:from>
    <xdr:to>
      <xdr:col>2</xdr:col>
      <xdr:colOff>446018</xdr:colOff>
      <xdr:row>76</xdr:row>
      <xdr:rowOff>70816</xdr:rowOff>
    </xdr:to>
    <xdr:pic>
      <xdr:nvPicPr>
        <xdr:cNvPr id="311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209260" y="16449261"/>
          <a:ext cx="2276475" cy="54292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6</xdr:col>
      <xdr:colOff>66261</xdr:colOff>
      <xdr:row>73</xdr:row>
      <xdr:rowOff>149087</xdr:rowOff>
    </xdr:from>
    <xdr:to>
      <xdr:col>6</xdr:col>
      <xdr:colOff>861933</xdr:colOff>
      <xdr:row>76</xdr:row>
      <xdr:rowOff>6212</xdr:rowOff>
    </xdr:to>
    <xdr:pic>
      <xdr:nvPicPr>
        <xdr:cNvPr id="311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6924261" y="16498957"/>
          <a:ext cx="795672" cy="42862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6</xdr:col>
      <xdr:colOff>85725</xdr:colOff>
      <xdr:row>85</xdr:row>
      <xdr:rowOff>152400</xdr:rowOff>
    </xdr:from>
    <xdr:to>
      <xdr:col>7</xdr:col>
      <xdr:colOff>1242</xdr:colOff>
      <xdr:row>88</xdr:row>
      <xdr:rowOff>28575</xdr:rowOff>
    </xdr:to>
    <xdr:pic>
      <xdr:nvPicPr>
        <xdr:cNvPr id="3120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943725" y="18335625"/>
          <a:ext cx="790575" cy="44767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1</xdr:colOff>
      <xdr:row>85</xdr:row>
      <xdr:rowOff>115957</xdr:rowOff>
    </xdr:from>
    <xdr:to>
      <xdr:col>2</xdr:col>
      <xdr:colOff>739268</xdr:colOff>
      <xdr:row>88</xdr:row>
      <xdr:rowOff>26357</xdr:rowOff>
    </xdr:to>
    <xdr:pic>
      <xdr:nvPicPr>
        <xdr:cNvPr id="3121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" y="19497261"/>
          <a:ext cx="3778984" cy="481900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77</xdr:row>
      <xdr:rowOff>42103</xdr:rowOff>
    </xdr:from>
    <xdr:to>
      <xdr:col>3</xdr:col>
      <xdr:colOff>57978</xdr:colOff>
      <xdr:row>82</xdr:row>
      <xdr:rowOff>136249</xdr:rowOff>
    </xdr:to>
    <xdr:pic>
      <xdr:nvPicPr>
        <xdr:cNvPr id="312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17145690"/>
          <a:ext cx="4008782" cy="106321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538369</xdr:colOff>
      <xdr:row>35</xdr:row>
      <xdr:rowOff>211382</xdr:rowOff>
    </xdr:from>
    <xdr:to>
      <xdr:col>7</xdr:col>
      <xdr:colOff>894522</xdr:colOff>
      <xdr:row>40</xdr:row>
      <xdr:rowOff>45304</xdr:rowOff>
    </xdr:to>
    <xdr:pic>
      <xdr:nvPicPr>
        <xdr:cNvPr id="37" name="Picture 36" descr="Untitled.pn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228521" y="7268165"/>
          <a:ext cx="2302566" cy="91066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19050</xdr:rowOff>
        </xdr:from>
        <xdr:to>
          <xdr:col>7</xdr:col>
          <xdr:colOff>895350</xdr:colOff>
          <xdr:row>27</xdr:row>
          <xdr:rowOff>47625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11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895975" cy="2057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13</xdr:col>
      <xdr:colOff>209550</xdr:colOff>
      <xdr:row>20</xdr:row>
      <xdr:rowOff>161925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67375" y="0"/>
          <a:ext cx="3457575" cy="37814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11</xdr:row>
      <xdr:rowOff>0</xdr:rowOff>
    </xdr:from>
    <xdr:to>
      <xdr:col>8</xdr:col>
      <xdr:colOff>95250</xdr:colOff>
      <xdr:row>24</xdr:row>
      <xdr:rowOff>142875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975" y="1990725"/>
          <a:ext cx="5400675" cy="2495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2"/>
  <sheetViews>
    <sheetView tabSelected="1" zoomScale="115" zoomScaleNormal="115" workbookViewId="0">
      <selection activeCell="E104" sqref="E104"/>
    </sheetView>
  </sheetViews>
  <sheetFormatPr defaultRowHeight="14.25"/>
  <cols>
    <col min="1" max="1" width="30.875" customWidth="1"/>
    <col min="2" max="2" width="9" customWidth="1"/>
    <col min="3" max="3" width="12" customWidth="1"/>
    <col min="4" max="4" width="10.5" style="55" customWidth="1"/>
    <col min="5" max="6" width="14" customWidth="1"/>
    <col min="7" max="7" width="11.5" customWidth="1"/>
    <col min="8" max="8" width="11.875" customWidth="1"/>
    <col min="9" max="9" width="10.875" customWidth="1"/>
    <col min="11" max="11" width="9.125" customWidth="1"/>
    <col min="12" max="12" width="20.125" customWidth="1"/>
    <col min="13" max="13" width="15.875" customWidth="1"/>
  </cols>
  <sheetData>
    <row r="1" spans="3:10">
      <c r="D1" s="92" t="s">
        <v>84</v>
      </c>
      <c r="E1" s="92"/>
      <c r="F1" s="92"/>
    </row>
    <row r="2" spans="3:10">
      <c r="D2" s="92"/>
      <c r="E2" s="92"/>
      <c r="F2" s="92"/>
    </row>
    <row r="7" spans="3:10" s="31" customFormat="1" ht="17.25" customHeight="1" thickBot="1">
      <c r="C7" s="27"/>
      <c r="D7" s="64"/>
      <c r="E7" s="28" t="s">
        <v>3</v>
      </c>
      <c r="F7" s="39" t="s">
        <v>4</v>
      </c>
      <c r="G7" s="28" t="s">
        <v>87</v>
      </c>
      <c r="H7" s="42">
        <v>560</v>
      </c>
      <c r="I7" s="43" t="s">
        <v>18</v>
      </c>
      <c r="J7" s="27"/>
    </row>
    <row r="8" spans="3:10" s="31" customFormat="1" ht="17.25" customHeight="1">
      <c r="C8" s="27" t="s">
        <v>16</v>
      </c>
      <c r="D8" s="77" t="s">
        <v>40</v>
      </c>
      <c r="E8" s="84">
        <v>5.0999999999999996</v>
      </c>
      <c r="F8" s="50" t="s">
        <v>44</v>
      </c>
      <c r="G8" s="30" t="s">
        <v>88</v>
      </c>
      <c r="H8" s="29">
        <v>200</v>
      </c>
      <c r="I8" s="41"/>
      <c r="J8" s="27"/>
    </row>
    <row r="9" spans="3:10" s="31" customFormat="1" ht="17.25" customHeight="1">
      <c r="C9" s="27"/>
      <c r="D9" s="77" t="s">
        <v>0</v>
      </c>
      <c r="E9" s="71">
        <f>I12/100</f>
        <v>0.2</v>
      </c>
      <c r="F9" s="50" t="s">
        <v>44</v>
      </c>
      <c r="G9" s="30" t="s">
        <v>89</v>
      </c>
      <c r="H9" s="29">
        <v>2</v>
      </c>
      <c r="I9" s="44" t="s">
        <v>30</v>
      </c>
      <c r="J9" s="27"/>
    </row>
    <row r="10" spans="3:10" ht="17.25">
      <c r="C10" s="14"/>
      <c r="D10" s="77" t="s">
        <v>1</v>
      </c>
      <c r="E10" s="20">
        <f>E8-2*E9</f>
        <v>4.6999999999999993</v>
      </c>
      <c r="F10" s="4" t="s">
        <v>44</v>
      </c>
      <c r="G10" s="4"/>
      <c r="H10" s="77" t="s">
        <v>23</v>
      </c>
      <c r="I10" s="82">
        <v>15</v>
      </c>
      <c r="J10" s="14"/>
    </row>
    <row r="11" spans="3:10" ht="17.25">
      <c r="C11" s="14"/>
      <c r="D11" s="77" t="s">
        <v>46</v>
      </c>
      <c r="E11" s="20">
        <f>1.5*E9</f>
        <v>0.30000000000000004</v>
      </c>
      <c r="F11" s="4"/>
      <c r="G11" s="4"/>
      <c r="H11" s="77" t="s">
        <v>24</v>
      </c>
      <c r="I11" s="83">
        <v>0.8</v>
      </c>
      <c r="J11" s="14"/>
    </row>
    <row r="12" spans="3:10" ht="17.25">
      <c r="C12" s="14"/>
      <c r="D12" s="77" t="s">
        <v>29</v>
      </c>
      <c r="E12" s="20">
        <f>I14/(10^8*(I12/2+I11))</f>
        <v>2.3085511111111138E-6</v>
      </c>
      <c r="F12" s="4" t="s">
        <v>43</v>
      </c>
      <c r="G12" s="4"/>
      <c r="H12" s="77" t="s">
        <v>25</v>
      </c>
      <c r="I12" s="83">
        <v>20</v>
      </c>
      <c r="J12" s="14"/>
    </row>
    <row r="13" spans="3:10" ht="17.25">
      <c r="C13" s="14"/>
      <c r="D13" s="77" t="s">
        <v>2</v>
      </c>
      <c r="E13" s="20">
        <f>E12*1.12</f>
        <v>2.5855772444444478E-6</v>
      </c>
      <c r="F13" s="63" t="s">
        <v>17</v>
      </c>
      <c r="G13" s="63"/>
      <c r="H13" s="77" t="s">
        <v>26</v>
      </c>
      <c r="I13" s="83">
        <v>0.6</v>
      </c>
      <c r="J13" s="14"/>
    </row>
    <row r="14" spans="3:10" ht="17.25">
      <c r="C14" s="14"/>
      <c r="D14" s="77" t="s">
        <v>34</v>
      </c>
      <c r="E14" s="19">
        <v>1.1499999999999999</v>
      </c>
      <c r="F14" s="45"/>
      <c r="G14" s="45"/>
      <c r="H14" s="77" t="s">
        <v>27</v>
      </c>
      <c r="I14" s="48">
        <f>(I10-I13)*(I12+2*I11)^(3)/12-(I10-I13)*(I12^3)/12</f>
        <v>2493.2352000000028</v>
      </c>
      <c r="J14" s="14"/>
    </row>
    <row r="15" spans="3:10" ht="17.25">
      <c r="C15" s="14"/>
      <c r="D15" s="77" t="s">
        <v>35</v>
      </c>
      <c r="E15" s="20">
        <f>MIN(1.2,(I16+I17)/(2*I16))</f>
        <v>1.2</v>
      </c>
      <c r="F15" s="45"/>
      <c r="G15" s="45"/>
      <c r="H15" s="77" t="s">
        <v>28</v>
      </c>
      <c r="I15" s="49">
        <f>2*I11*I10^3/12+I12*I13^3/12</f>
        <v>450.36</v>
      </c>
      <c r="J15" s="14"/>
    </row>
    <row r="16" spans="3:10" ht="17.25">
      <c r="C16" s="14"/>
      <c r="D16" s="77" t="s">
        <v>38</v>
      </c>
      <c r="E16" s="51">
        <f>E15*E14*E13*I16*10^6</f>
        <v>8563.4318336000106</v>
      </c>
      <c r="F16" s="40" t="s">
        <v>32</v>
      </c>
      <c r="G16" s="4"/>
      <c r="H16" s="77" t="s">
        <v>36</v>
      </c>
      <c r="I16" s="58">
        <v>2400</v>
      </c>
      <c r="J16" s="14"/>
    </row>
    <row r="17" spans="3:11" ht="17.25">
      <c r="C17" s="14"/>
      <c r="D17" s="77" t="s">
        <v>41</v>
      </c>
      <c r="E17" s="20">
        <f>(1.2*H7+H8)</f>
        <v>872</v>
      </c>
      <c r="F17" s="4" t="s">
        <v>85</v>
      </c>
      <c r="G17" s="4"/>
      <c r="H17" s="77" t="s">
        <v>37</v>
      </c>
      <c r="I17" s="59">
        <v>3700</v>
      </c>
      <c r="J17" s="14" t="s">
        <v>18</v>
      </c>
    </row>
    <row r="18" spans="3:11" ht="17.25">
      <c r="C18" s="14"/>
      <c r="D18" s="77" t="s">
        <v>39</v>
      </c>
      <c r="E18" s="47">
        <f>2*E16/E10+(E17)*H9*E10/2</f>
        <v>7742.4135462127706</v>
      </c>
      <c r="F18" s="4" t="s">
        <v>31</v>
      </c>
      <c r="G18" s="4"/>
      <c r="H18" s="77" t="s">
        <v>79</v>
      </c>
      <c r="I18" s="59">
        <f>2.1*10^6</f>
        <v>2100000</v>
      </c>
      <c r="J18" s="14"/>
    </row>
    <row r="19" spans="3:11" ht="17.25">
      <c r="C19" s="14"/>
      <c r="D19" s="77" t="s">
        <v>42</v>
      </c>
      <c r="E19" s="47">
        <f>E18+E17*H9*E11</f>
        <v>8265.6135462127713</v>
      </c>
      <c r="F19" s="4" t="s">
        <v>31</v>
      </c>
      <c r="G19" s="4"/>
      <c r="I19" s="59"/>
      <c r="J19" s="14"/>
    </row>
    <row r="20" spans="3:11" ht="17.25">
      <c r="C20" s="14"/>
      <c r="D20" s="68" t="s">
        <v>45</v>
      </c>
      <c r="E20" s="47">
        <f>E16+E18*E11+E17*H9*E11^2/2</f>
        <v>10964.635897463842</v>
      </c>
      <c r="F20" s="4" t="s">
        <v>32</v>
      </c>
      <c r="I20" s="59"/>
      <c r="J20" s="14"/>
    </row>
    <row r="21" spans="3:11" ht="15" thickBot="1">
      <c r="C21" s="23"/>
      <c r="D21" s="66"/>
      <c r="E21" s="10"/>
      <c r="F21" s="10"/>
      <c r="G21" s="23" t="s">
        <v>18</v>
      </c>
      <c r="H21" s="23"/>
      <c r="I21" s="59"/>
      <c r="J21" s="14"/>
    </row>
    <row r="22" spans="3:11" ht="15" thickBot="1">
      <c r="C22" s="22"/>
      <c r="D22" s="16"/>
      <c r="E22" s="4"/>
      <c r="F22" s="4"/>
      <c r="G22" s="4"/>
      <c r="H22" s="25" t="s">
        <v>5</v>
      </c>
      <c r="I22" s="15"/>
      <c r="J22" s="16"/>
    </row>
    <row r="23" spans="3:11">
      <c r="C23" s="22"/>
      <c r="D23" s="16"/>
      <c r="E23" s="4" t="s">
        <v>8</v>
      </c>
      <c r="F23" s="4"/>
      <c r="G23" s="4"/>
      <c r="H23" s="26"/>
      <c r="I23" s="15"/>
      <c r="J23" s="16"/>
    </row>
    <row r="24" spans="3:11" ht="17.25">
      <c r="C24" s="22"/>
      <c r="D24" s="3" t="s">
        <v>6</v>
      </c>
      <c r="E24" s="19">
        <v>20</v>
      </c>
      <c r="F24" s="4" t="s">
        <v>33</v>
      </c>
      <c r="G24" s="4"/>
      <c r="H24" s="5"/>
      <c r="I24" s="15"/>
      <c r="J24" s="16"/>
      <c r="K24" s="32"/>
    </row>
    <row r="25" spans="3:11" ht="17.25">
      <c r="C25" s="22"/>
      <c r="D25" s="3" t="s">
        <v>7</v>
      </c>
      <c r="E25" s="20">
        <f>E20/(E9*1000)</f>
        <v>54.823179487319209</v>
      </c>
      <c r="F25" s="4" t="s">
        <v>53</v>
      </c>
      <c r="G25" s="4"/>
      <c r="H25" s="5"/>
      <c r="I25" s="15"/>
      <c r="J25" s="16"/>
      <c r="K25" s="32"/>
    </row>
    <row r="26" spans="3:11">
      <c r="C26" s="22"/>
      <c r="D26" s="3" t="s">
        <v>90</v>
      </c>
      <c r="E26" s="80">
        <f>(E20*1000)/(1*E9*100*E24*I16)</f>
        <v>11.421495726524837</v>
      </c>
      <c r="F26" s="4" t="s">
        <v>51</v>
      </c>
      <c r="G26" s="4"/>
      <c r="H26" s="5"/>
      <c r="I26" s="15"/>
      <c r="J26" s="16"/>
    </row>
    <row r="27" spans="3:11" ht="17.25">
      <c r="C27" s="22"/>
      <c r="D27" s="3"/>
      <c r="E27" s="19"/>
      <c r="F27" s="4"/>
      <c r="G27" s="4"/>
      <c r="H27" s="5"/>
      <c r="I27" s="15"/>
      <c r="J27" s="16"/>
    </row>
    <row r="28" spans="3:11" ht="17.25">
      <c r="C28" s="22"/>
      <c r="D28" s="3" t="s">
        <v>9</v>
      </c>
      <c r="E28" s="19">
        <v>6</v>
      </c>
      <c r="F28" s="4" t="s">
        <v>51</v>
      </c>
      <c r="G28" s="4" t="s">
        <v>13</v>
      </c>
      <c r="H28" s="53">
        <v>0.85</v>
      </c>
      <c r="I28" s="15"/>
      <c r="J28" s="16"/>
    </row>
    <row r="29" spans="3:11" ht="17.25">
      <c r="C29" s="52" t="s">
        <v>49</v>
      </c>
      <c r="D29" s="3" t="s">
        <v>10</v>
      </c>
      <c r="E29" s="47">
        <f>E20*10000/(E9*1000*E31*E28)</f>
        <v>670.39625393390725</v>
      </c>
      <c r="F29" s="4" t="s">
        <v>51</v>
      </c>
      <c r="G29" s="16" t="s">
        <v>48</v>
      </c>
      <c r="H29" s="53">
        <v>420</v>
      </c>
      <c r="I29" s="15"/>
      <c r="J29" s="16"/>
    </row>
    <row r="30" spans="3:11">
      <c r="C30" s="52" t="s">
        <v>50</v>
      </c>
      <c r="D30" s="3" t="s">
        <v>11</v>
      </c>
      <c r="E30" s="81">
        <f>0.5*E29+20</f>
        <v>355.19812696695362</v>
      </c>
      <c r="F30" s="4" t="s">
        <v>51</v>
      </c>
      <c r="G30" s="4"/>
      <c r="H30" s="5"/>
      <c r="I30" s="15"/>
      <c r="J30" s="16"/>
    </row>
    <row r="31" spans="3:11" ht="17.25">
      <c r="C31" s="22"/>
      <c r="D31" s="85" t="s">
        <v>47</v>
      </c>
      <c r="E31" s="46">
        <f>0.9*H28*0.6*H29*0.707</f>
        <v>136.29545999999996</v>
      </c>
      <c r="F31" s="20" t="s">
        <v>52</v>
      </c>
      <c r="G31" s="4"/>
      <c r="H31" s="4"/>
      <c r="I31" s="15"/>
      <c r="J31" s="16"/>
    </row>
    <row r="32" spans="3:11" ht="15" thickBot="1">
      <c r="F32" s="23"/>
      <c r="G32" s="23"/>
      <c r="H32" s="24"/>
      <c r="I32" s="15"/>
      <c r="J32" s="16"/>
    </row>
    <row r="33" spans="2:13" ht="15" thickBot="1">
      <c r="C33" s="21"/>
      <c r="D33" s="65"/>
      <c r="E33" s="11" t="s">
        <v>8</v>
      </c>
      <c r="F33" s="11"/>
      <c r="G33" s="11"/>
      <c r="H33" s="35" t="s">
        <v>12</v>
      </c>
      <c r="I33" s="15"/>
      <c r="J33" s="4"/>
    </row>
    <row r="34" spans="2:13" ht="17.25">
      <c r="C34" s="22"/>
      <c r="D34" s="33" t="s">
        <v>21</v>
      </c>
      <c r="E34" s="34">
        <v>13.81</v>
      </c>
      <c r="F34" s="37" t="s">
        <v>22</v>
      </c>
      <c r="G34" s="38">
        <v>15</v>
      </c>
      <c r="H34" s="5"/>
      <c r="I34" s="15"/>
      <c r="J34" s="20"/>
    </row>
    <row r="35" spans="2:13" ht="17.25">
      <c r="C35" s="22"/>
      <c r="D35" s="3" t="s">
        <v>7</v>
      </c>
      <c r="E35" s="20">
        <f>E20/(E9*1000)</f>
        <v>54.823179487319209</v>
      </c>
      <c r="F35" s="17"/>
      <c r="G35" s="4" t="s">
        <v>13</v>
      </c>
      <c r="H35" s="36">
        <v>0.75</v>
      </c>
      <c r="I35" s="15"/>
      <c r="J35" s="20"/>
    </row>
    <row r="36" spans="2:13" ht="17.25">
      <c r="C36" s="22"/>
      <c r="D36" s="3" t="s">
        <v>90</v>
      </c>
      <c r="E36" s="80">
        <f>(E20*1000)/(1*E9*100*E34*I16)</f>
        <v>16.540906193374131</v>
      </c>
      <c r="F36" s="4" t="s">
        <v>51</v>
      </c>
      <c r="G36" s="16" t="s">
        <v>48</v>
      </c>
      <c r="H36" s="53">
        <v>420</v>
      </c>
      <c r="I36" s="15"/>
      <c r="J36" s="19"/>
      <c r="K36" s="32"/>
    </row>
    <row r="37" spans="2:13" ht="17.25">
      <c r="C37" s="22"/>
      <c r="D37" s="3"/>
      <c r="E37" s="20"/>
      <c r="F37" s="4"/>
      <c r="G37" s="4"/>
      <c r="H37" s="5"/>
      <c r="I37" s="15"/>
      <c r="J37" s="20"/>
    </row>
    <row r="38" spans="2:13" ht="17.25">
      <c r="C38" s="22"/>
      <c r="D38" s="3" t="s">
        <v>9</v>
      </c>
      <c r="E38" s="19">
        <v>6</v>
      </c>
      <c r="F38" s="4" t="s">
        <v>51</v>
      </c>
      <c r="G38" s="4"/>
      <c r="H38" s="18"/>
      <c r="I38" s="15"/>
      <c r="J38" s="20"/>
    </row>
    <row r="39" spans="2:13" ht="17.25">
      <c r="C39" s="52" t="s">
        <v>49</v>
      </c>
      <c r="D39" s="3" t="s">
        <v>10</v>
      </c>
      <c r="E39" s="20">
        <f>E20*10000/(E9*1000*E41*E38)</f>
        <v>759.78242112509463</v>
      </c>
      <c r="F39" s="4" t="s">
        <v>51</v>
      </c>
      <c r="G39" s="4"/>
      <c r="H39" s="5"/>
      <c r="I39" s="15"/>
      <c r="J39" s="19"/>
    </row>
    <row r="40" spans="2:13" ht="17.25">
      <c r="C40" s="52" t="s">
        <v>50</v>
      </c>
      <c r="D40" s="3" t="s">
        <v>11</v>
      </c>
      <c r="E40" s="80">
        <f>0.5*E39+50</f>
        <v>429.89121056254731</v>
      </c>
      <c r="F40" s="4" t="s">
        <v>51</v>
      </c>
      <c r="G40" s="4"/>
      <c r="H40" s="5"/>
      <c r="I40" s="15"/>
      <c r="J40" s="20"/>
    </row>
    <row r="41" spans="2:13" ht="17.25">
      <c r="C41" s="22"/>
      <c r="D41" s="85" t="s">
        <v>47</v>
      </c>
      <c r="E41" s="46">
        <f>0.9*H35*0.6*H36*0.707</f>
        <v>120.26070000000001</v>
      </c>
      <c r="F41" s="20" t="s">
        <v>52</v>
      </c>
      <c r="G41" s="4"/>
      <c r="H41" s="5"/>
      <c r="I41" s="15"/>
      <c r="J41" s="4"/>
    </row>
    <row r="42" spans="2:13" ht="15" thickBot="1">
      <c r="C42" s="9"/>
      <c r="D42" s="66"/>
      <c r="E42" s="10"/>
      <c r="F42" s="10"/>
      <c r="G42" s="10"/>
      <c r="H42" s="13"/>
      <c r="I42" s="15"/>
      <c r="J42" s="1"/>
      <c r="K42" s="1"/>
      <c r="M42" s="2"/>
    </row>
    <row r="43" spans="2:13">
      <c r="C43" s="8"/>
      <c r="D43" s="2"/>
      <c r="E43" s="1"/>
      <c r="F43" s="7"/>
      <c r="G43" s="1"/>
      <c r="H43" s="1"/>
      <c r="I43" s="16"/>
      <c r="J43" s="1"/>
      <c r="K43" s="1"/>
      <c r="M43" s="2"/>
    </row>
    <row r="44" spans="2:13" ht="15" thickBot="1">
      <c r="C44" s="8"/>
      <c r="D44" s="2"/>
      <c r="E44" s="1"/>
      <c r="F44" s="10"/>
      <c r="G44" s="1"/>
      <c r="H44" s="1"/>
      <c r="I44" s="16"/>
      <c r="J44" s="1"/>
      <c r="K44" s="1"/>
      <c r="L44" s="1"/>
      <c r="M44" s="2"/>
    </row>
    <row r="45" spans="2:13" ht="15" thickBot="1">
      <c r="B45" s="1"/>
      <c r="C45" s="7"/>
      <c r="D45" s="67"/>
      <c r="E45" s="7"/>
      <c r="F45" s="12" t="s">
        <v>14</v>
      </c>
      <c r="G45" s="7"/>
      <c r="H45" s="7"/>
      <c r="I45" s="1"/>
      <c r="J45" s="1"/>
      <c r="K45" s="1"/>
      <c r="L45" s="4"/>
      <c r="M45" s="2"/>
    </row>
    <row r="46" spans="2:13" ht="17.25">
      <c r="B46" s="1"/>
      <c r="C46" s="1"/>
      <c r="D46" s="55" t="s">
        <v>55</v>
      </c>
      <c r="E46" s="54">
        <v>12</v>
      </c>
      <c r="F46" t="s">
        <v>33</v>
      </c>
      <c r="G46" s="1"/>
      <c r="H46" s="4"/>
      <c r="I46" s="2"/>
      <c r="J46" s="20"/>
      <c r="L46" s="1"/>
      <c r="M46" s="2"/>
    </row>
    <row r="47" spans="2:13" ht="17.25">
      <c r="B47" s="1"/>
      <c r="C47" s="1"/>
      <c r="D47" s="55" t="s">
        <v>62</v>
      </c>
      <c r="E47" s="60">
        <f>E46-2</f>
        <v>10</v>
      </c>
      <c r="F47" t="s">
        <v>33</v>
      </c>
      <c r="G47" s="1"/>
      <c r="H47" s="4"/>
      <c r="I47" s="2"/>
      <c r="J47" s="20"/>
      <c r="L47" s="1"/>
      <c r="M47" s="2"/>
    </row>
    <row r="48" spans="2:13" ht="17.25">
      <c r="B48" s="1"/>
      <c r="C48" s="1"/>
      <c r="D48" s="55" t="s">
        <v>56</v>
      </c>
      <c r="E48">
        <f>I12-4</f>
        <v>16</v>
      </c>
      <c r="F48" t="s">
        <v>33</v>
      </c>
      <c r="G48" s="1"/>
      <c r="H48" s="4"/>
      <c r="I48" s="6"/>
      <c r="J48" s="20"/>
      <c r="L48" s="1"/>
      <c r="M48" s="2"/>
    </row>
    <row r="49" spans="2:13" ht="17.25">
      <c r="B49" s="1"/>
      <c r="C49" s="1"/>
      <c r="D49" s="3" t="s">
        <v>54</v>
      </c>
      <c r="E49" s="78">
        <f>(E19)*10/(0.9*(I12-4)*0.6*2400)</f>
        <v>3.9861176438140293</v>
      </c>
      <c r="F49" s="1" t="s">
        <v>51</v>
      </c>
      <c r="G49" s="1"/>
      <c r="H49" s="1"/>
      <c r="I49" s="2"/>
      <c r="J49" s="20"/>
      <c r="L49" s="1"/>
      <c r="M49" s="2"/>
    </row>
    <row r="50" spans="2:13" ht="17.25">
      <c r="B50" s="1"/>
      <c r="C50" s="1"/>
      <c r="I50" s="2"/>
      <c r="J50" s="20"/>
      <c r="L50" s="2"/>
      <c r="M50" s="2"/>
    </row>
    <row r="51" spans="2:13" ht="17.25">
      <c r="B51" s="1"/>
      <c r="C51" s="1"/>
      <c r="D51" s="16" t="s">
        <v>57</v>
      </c>
      <c r="E51" s="20">
        <f>(E46^2/(2*E46+E48))</f>
        <v>3.6</v>
      </c>
      <c r="F51" s="1"/>
      <c r="I51" s="2"/>
      <c r="J51" s="20"/>
      <c r="L51" s="1"/>
      <c r="M51" s="1"/>
    </row>
    <row r="52" spans="2:13" ht="17.25">
      <c r="B52" s="1"/>
      <c r="C52" s="1"/>
      <c r="D52" s="3" t="s">
        <v>58</v>
      </c>
      <c r="E52" s="46">
        <f>(8*E46^3+6*E46*E48^2+E48^3)/12-(E46^4/(2*E46+E48))</f>
        <v>2510.9333333333334</v>
      </c>
      <c r="F52" s="1"/>
      <c r="G52" s="1"/>
      <c r="H52" s="1"/>
      <c r="I52" s="2"/>
      <c r="J52" s="20"/>
      <c r="L52" s="1"/>
      <c r="M52" s="1"/>
    </row>
    <row r="53" spans="2:13" ht="18" thickBot="1">
      <c r="B53" s="1"/>
      <c r="C53" s="1"/>
      <c r="D53" s="3" t="s">
        <v>20</v>
      </c>
      <c r="E53" s="47">
        <f>E19*(E46-E51)/2</f>
        <v>34715.57689409364</v>
      </c>
      <c r="F53" s="1" t="s">
        <v>31</v>
      </c>
      <c r="G53" s="1"/>
      <c r="H53" s="1"/>
      <c r="I53" s="2"/>
      <c r="J53" s="20"/>
      <c r="L53" s="1"/>
      <c r="M53" s="1"/>
    </row>
    <row r="54" spans="2:13" ht="17.25" customHeight="1" thickBot="1">
      <c r="B54" s="1"/>
      <c r="C54" s="1"/>
      <c r="E54" s="106" t="s">
        <v>59</v>
      </c>
      <c r="F54" s="107"/>
      <c r="G54" s="4" t="s">
        <v>13</v>
      </c>
      <c r="H54" s="61">
        <v>0.85</v>
      </c>
      <c r="I54" s="2"/>
      <c r="J54" s="20"/>
      <c r="L54" s="1"/>
      <c r="M54" s="1"/>
    </row>
    <row r="55" spans="2:13" ht="33.75" customHeight="1">
      <c r="B55" s="1"/>
      <c r="C55" s="1"/>
      <c r="E55" s="56">
        <f>E19/(2*E47+E48)</f>
        <v>229.60037628368809</v>
      </c>
      <c r="G55" s="16" t="s">
        <v>48</v>
      </c>
      <c r="H55" s="53">
        <v>4200</v>
      </c>
      <c r="I55" s="2"/>
      <c r="J55" s="20"/>
      <c r="L55" s="1"/>
      <c r="M55" s="1"/>
    </row>
    <row r="56" spans="2:13" ht="35.25" customHeight="1">
      <c r="B56" s="1"/>
      <c r="C56" s="1"/>
      <c r="D56" s="2"/>
      <c r="E56" s="57">
        <f>E53*(E47-E51)/E52</f>
        <v>88.484902873645652</v>
      </c>
      <c r="F56" s="1"/>
      <c r="G56" s="1"/>
      <c r="H56" s="1"/>
      <c r="I56" s="2"/>
      <c r="J56" s="20"/>
      <c r="L56" s="1"/>
      <c r="M56" s="1"/>
    </row>
    <row r="57" spans="2:13" ht="39" customHeight="1">
      <c r="B57" s="1"/>
      <c r="C57" s="1"/>
      <c r="D57" s="2"/>
      <c r="E57" s="57">
        <f>E53*E48/(2*E52)</f>
        <v>110.60612859205705</v>
      </c>
      <c r="F57" s="1"/>
      <c r="G57" s="1"/>
      <c r="H57" s="1"/>
      <c r="I57" s="1"/>
      <c r="J57" s="1"/>
      <c r="K57" s="1"/>
      <c r="L57" s="1"/>
      <c r="M57" s="1"/>
    </row>
    <row r="58" spans="2:13" ht="17.25">
      <c r="D58" s="68" t="s">
        <v>47</v>
      </c>
      <c r="E58" s="46">
        <f>0.9*H54*0.6*H55*0.707</f>
        <v>1362.9545999999998</v>
      </c>
      <c r="F58" s="20" t="s">
        <v>61</v>
      </c>
    </row>
    <row r="59" spans="2:13">
      <c r="D59" s="55" t="s">
        <v>60</v>
      </c>
      <c r="E59" s="79">
        <f>(((E55+E56)^2+E57^2)^0.5)/E58</f>
        <v>0.24708594336645692</v>
      </c>
      <c r="F59" t="s">
        <v>33</v>
      </c>
    </row>
    <row r="60" spans="2:13" ht="15" thickBot="1"/>
    <row r="61" spans="2:13" ht="15.75" customHeight="1" thickBot="1">
      <c r="E61" s="106" t="s">
        <v>63</v>
      </c>
      <c r="F61" s="107"/>
      <c r="G61" s="4" t="s">
        <v>13</v>
      </c>
      <c r="H61" s="61">
        <v>0.75</v>
      </c>
    </row>
    <row r="62" spans="2:13" ht="25.5" customHeight="1">
      <c r="D62" s="55" t="s">
        <v>19</v>
      </c>
      <c r="E62" s="62">
        <f>E19*0.5*(E46-E51)</f>
        <v>34715.57689409364</v>
      </c>
      <c r="F62" t="s">
        <v>64</v>
      </c>
      <c r="G62" s="16" t="s">
        <v>48</v>
      </c>
      <c r="H62" s="53">
        <v>4200</v>
      </c>
    </row>
    <row r="63" spans="2:13" ht="29.25" customHeight="1">
      <c r="D63" s="55" t="s">
        <v>15</v>
      </c>
      <c r="E63">
        <f>E48^3/12</f>
        <v>341.33333333333331</v>
      </c>
      <c r="F63" t="s">
        <v>65</v>
      </c>
    </row>
    <row r="64" spans="2:13" ht="48" customHeight="1">
      <c r="E64" s="31">
        <f>(E19/E48)^2</f>
        <v>266876.43474740651</v>
      </c>
      <c r="F64" s="69" t="s">
        <v>66</v>
      </c>
    </row>
    <row r="65" spans="1:9" ht="46.5" customHeight="1" thickBot="1">
      <c r="E65" s="69">
        <f>(E62*(E48/2)/E63)^2</f>
        <v>662020.35594528529</v>
      </c>
      <c r="F65" s="69" t="s">
        <v>66</v>
      </c>
      <c r="H65" s="72"/>
      <c r="I65" s="72"/>
    </row>
    <row r="66" spans="1:9" ht="23.25" customHeight="1">
      <c r="D66" s="74" t="s">
        <v>47</v>
      </c>
      <c r="E66" s="71">
        <f>0.9*H61*0.6*H62*0.707</f>
        <v>1202.607</v>
      </c>
      <c r="F66" s="70" t="s">
        <v>61</v>
      </c>
      <c r="G66" s="100" t="s">
        <v>68</v>
      </c>
      <c r="H66" s="101"/>
      <c r="I66" s="102"/>
    </row>
    <row r="67" spans="1:9" ht="25.5" customHeight="1" thickBot="1">
      <c r="D67" s="55" t="s">
        <v>67</v>
      </c>
      <c r="E67" s="79">
        <f>(E64+E65)^0.5/(E66)</f>
        <v>0.80141968156568621</v>
      </c>
      <c r="F67" t="s">
        <v>33</v>
      </c>
      <c r="G67" s="103"/>
      <c r="H67" s="104"/>
      <c r="I67" s="105"/>
    </row>
    <row r="68" spans="1:9" ht="15" thickBot="1">
      <c r="A68" s="10"/>
      <c r="B68" s="10"/>
      <c r="C68" s="10"/>
      <c r="D68" s="66"/>
      <c r="E68" s="10"/>
      <c r="F68" s="10"/>
      <c r="G68" s="10"/>
      <c r="H68" s="10"/>
      <c r="I68" s="10"/>
    </row>
    <row r="69" spans="1:9" ht="15" thickBot="1">
      <c r="E69" s="106" t="s">
        <v>74</v>
      </c>
      <c r="F69" s="107"/>
    </row>
    <row r="70" spans="1:9">
      <c r="D70" s="55" t="s">
        <v>69</v>
      </c>
      <c r="E70" s="76">
        <v>1</v>
      </c>
      <c r="F70" t="s">
        <v>33</v>
      </c>
      <c r="G70" s="96" t="s">
        <v>80</v>
      </c>
      <c r="H70" s="96"/>
    </row>
    <row r="71" spans="1:9" ht="17.25">
      <c r="C71" s="1"/>
      <c r="D71" s="55" t="s">
        <v>70</v>
      </c>
      <c r="E71" s="61">
        <v>1.1499999999999999</v>
      </c>
      <c r="G71" s="55" t="s">
        <v>81</v>
      </c>
      <c r="H71" s="54">
        <v>12.5</v>
      </c>
    </row>
    <row r="72" spans="1:9" ht="17.25">
      <c r="C72" s="1"/>
      <c r="D72" s="55" t="s">
        <v>72</v>
      </c>
      <c r="E72" s="61">
        <v>2400</v>
      </c>
      <c r="G72" s="55" t="s">
        <v>82</v>
      </c>
      <c r="H72" s="54">
        <v>0.8</v>
      </c>
    </row>
    <row r="73" spans="1:9" ht="17.25">
      <c r="D73" s="55" t="s">
        <v>71</v>
      </c>
      <c r="E73" s="73">
        <f>E14</f>
        <v>1.1499999999999999</v>
      </c>
    </row>
    <row r="74" spans="1:9" ht="15" thickBot="1">
      <c r="D74" s="55" t="s">
        <v>73</v>
      </c>
      <c r="E74" s="75">
        <f>I16</f>
        <v>2400</v>
      </c>
    </row>
    <row r="75" spans="1:9" ht="15" thickBot="1">
      <c r="D75" s="93" t="str">
        <f>IF(E70&gt;=0.4*(1.8*I10*I11*(E73*E74)/(E71*E72))^0.5,"احتیاج به ورق پیوستگی ندارد ","احتیاج به ورق پیوستگی دارد")</f>
        <v>احتیاج به ورق پیوستگی دارد</v>
      </c>
      <c r="E75" s="94"/>
      <c r="F75" s="95"/>
      <c r="H75">
        <f>0.4*(1.8*I10*I11*(E73*E74)/(E71*E72))^0.5</f>
        <v>1.8590320061795602</v>
      </c>
    </row>
    <row r="76" spans="1:9" ht="15" thickBot="1">
      <c r="D76" s="93" t="str">
        <f>IF(E70&gt;=I10/6,"احتیاج به ورق پیوستگی ندارد ","احتیاج به ورق پیوستگی دارد")</f>
        <v>احتیاج به ورق پیوستگی دارد</v>
      </c>
      <c r="E76" s="94"/>
      <c r="F76" s="95"/>
      <c r="H76">
        <f>I10/6</f>
        <v>2.5</v>
      </c>
    </row>
    <row r="77" spans="1:9" ht="15" thickBot="1">
      <c r="D77" s="93" t="str">
        <f>IF((H71/H72)&lt;=0.55*(I18/I16)^0.5,"ابعاد ورق پیوستگی مناسب است ","ابعاد ورق پیوستگی مناسب نیست")</f>
        <v xml:space="preserve">ابعاد ورق پیوستگی مناسب است </v>
      </c>
      <c r="E77" s="94"/>
      <c r="F77" s="95"/>
    </row>
    <row r="79" spans="1:9" ht="15" thickBot="1"/>
    <row r="80" spans="1:9" ht="15" thickBot="1">
      <c r="E80" s="106" t="s">
        <v>75</v>
      </c>
      <c r="F80" s="107"/>
    </row>
    <row r="81" spans="1:10">
      <c r="D81" s="55" t="s">
        <v>69</v>
      </c>
      <c r="E81" s="76">
        <v>0.8</v>
      </c>
      <c r="F81" t="s">
        <v>33</v>
      </c>
      <c r="G81" s="96" t="s">
        <v>80</v>
      </c>
      <c r="H81" s="96"/>
    </row>
    <row r="82" spans="1:10">
      <c r="D82" s="55" t="s">
        <v>76</v>
      </c>
      <c r="E82" s="76">
        <v>30</v>
      </c>
      <c r="F82" t="s">
        <v>33</v>
      </c>
      <c r="G82" s="55" t="s">
        <v>81</v>
      </c>
      <c r="H82" s="54">
        <v>30</v>
      </c>
    </row>
    <row r="83" spans="1:10" ht="17.25">
      <c r="C83" s="1"/>
      <c r="D83" s="55" t="s">
        <v>70</v>
      </c>
      <c r="E83" s="61">
        <v>1.1499999999999999</v>
      </c>
      <c r="G83" s="55" t="s">
        <v>82</v>
      </c>
      <c r="H83" s="54">
        <v>1</v>
      </c>
    </row>
    <row r="84" spans="1:10" ht="17.25">
      <c r="C84" s="1"/>
      <c r="D84" s="55" t="s">
        <v>72</v>
      </c>
      <c r="E84" s="61">
        <v>2400</v>
      </c>
    </row>
    <row r="85" spans="1:10" ht="17.25">
      <c r="D85" s="55" t="s">
        <v>71</v>
      </c>
      <c r="E85" s="73">
        <f>E14</f>
        <v>1.1499999999999999</v>
      </c>
    </row>
    <row r="86" spans="1:10" ht="15" thickBot="1">
      <c r="D86" s="55" t="s">
        <v>73</v>
      </c>
      <c r="E86" s="75">
        <f>I16</f>
        <v>2400</v>
      </c>
    </row>
    <row r="87" spans="1:10" ht="15" thickBot="1">
      <c r="D87" s="93" t="str">
        <f>IF(E70&gt;=0.4*(1.8*I10*I11*(E73*E74)/(E71*E72)*(1-(I10*(E82-I10/4)/E82^2)))^0.5,"احتیاج به ورق پیوستگی ندارد ","احتیاج به ورق پیوستگی دارد")</f>
        <v>احتیاج به ورق پیوستگی دارد</v>
      </c>
      <c r="E87" s="94"/>
      <c r="F87" s="95"/>
      <c r="H87">
        <f>0.4*(1.8*I10*I11*(E73*E74)/(E71*E72)*(1-(I10*(E82-I10/4)/E82^2)))^0.5</f>
        <v>1.3942740046346702</v>
      </c>
    </row>
    <row r="88" spans="1:10" ht="15" thickBot="1">
      <c r="D88" s="93" t="str">
        <f>IF(E70&gt;=I10/12,"احتیاج به ورق پیوستگی ندارد ","احتیاج به ورق پیوستگی دارد")</f>
        <v>احتیاج به ورق پیوستگی دارد</v>
      </c>
      <c r="E88" s="94"/>
      <c r="F88" s="95"/>
    </row>
    <row r="89" spans="1:10" ht="15" thickBot="1">
      <c r="D89" s="93" t="str">
        <f>IF((H82/H83)&lt;=1.4*(I18/I16)^0.5,"ابعاد ورق پیوستگی مناسب است ","ابعاد ورق پیوستگی مناسب نیست")</f>
        <v xml:space="preserve">ابعاد ورق پیوستگی مناسب است </v>
      </c>
      <c r="E89" s="94"/>
      <c r="F89" s="95"/>
    </row>
    <row r="90" spans="1:10" ht="15" thickBot="1">
      <c r="B90" s="96" t="s">
        <v>86</v>
      </c>
      <c r="C90" s="97"/>
      <c r="D90" s="93">
        <f>E36/2</f>
        <v>8.2704530966870653</v>
      </c>
      <c r="E90" s="94"/>
      <c r="F90" s="95"/>
      <c r="G90" t="s">
        <v>51</v>
      </c>
    </row>
    <row r="91" spans="1:10">
      <c r="B91" s="99" t="s">
        <v>77</v>
      </c>
      <c r="C91" s="99"/>
      <c r="D91" s="99"/>
      <c r="E91" s="99"/>
      <c r="F91" s="99"/>
      <c r="G91" s="99"/>
      <c r="H91" s="99"/>
    </row>
    <row r="92" spans="1:10" ht="15" thickBot="1">
      <c r="B92" s="98" t="s">
        <v>78</v>
      </c>
      <c r="C92" s="98"/>
      <c r="D92" s="98"/>
      <c r="E92" s="98"/>
      <c r="F92" s="98"/>
      <c r="G92" s="98"/>
      <c r="H92" s="98"/>
      <c r="I92" s="98"/>
      <c r="J92" s="98"/>
    </row>
    <row r="93" spans="1:10" ht="15" thickBot="1">
      <c r="A93" s="7"/>
      <c r="B93" s="7"/>
      <c r="C93" s="7"/>
      <c r="D93" s="67"/>
      <c r="E93" s="7"/>
      <c r="F93" s="7"/>
      <c r="G93" s="7"/>
      <c r="H93" s="7"/>
      <c r="I93" s="7"/>
    </row>
    <row r="94" spans="1:10">
      <c r="B94" s="86" t="s">
        <v>83</v>
      </c>
      <c r="C94" s="87"/>
      <c r="D94" s="87"/>
      <c r="E94" s="87"/>
      <c r="F94" s="87"/>
      <c r="G94" s="88"/>
    </row>
    <row r="95" spans="1:10" ht="15" thickBot="1">
      <c r="B95" s="89"/>
      <c r="C95" s="90"/>
      <c r="D95" s="90"/>
      <c r="E95" s="90"/>
      <c r="F95" s="90"/>
      <c r="G95" s="91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</sheetData>
  <mergeCells count="19">
    <mergeCell ref="D76:F76"/>
    <mergeCell ref="E80:F80"/>
    <mergeCell ref="E54:F54"/>
    <mergeCell ref="E61:F61"/>
    <mergeCell ref="B94:G95"/>
    <mergeCell ref="D1:F2"/>
    <mergeCell ref="D90:F90"/>
    <mergeCell ref="B90:C90"/>
    <mergeCell ref="B92:J92"/>
    <mergeCell ref="G70:H70"/>
    <mergeCell ref="G81:H81"/>
    <mergeCell ref="D89:F89"/>
    <mergeCell ref="D77:F77"/>
    <mergeCell ref="D87:F87"/>
    <mergeCell ref="D88:F88"/>
    <mergeCell ref="B91:H91"/>
    <mergeCell ref="G66:I67"/>
    <mergeCell ref="E69:F69"/>
    <mergeCell ref="D75:F75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AutoCAD.Drawing.17" shapeId="3075" r:id="rId4">
          <objectPr defaultSize="0" autoPict="0" r:id="rId5">
            <anchor moveWithCells="1">
              <from>
                <xdr:col>5</xdr:col>
                <xdr:colOff>438150</xdr:colOff>
                <xdr:row>22</xdr:row>
                <xdr:rowOff>19050</xdr:rowOff>
              </from>
              <to>
                <xdr:col>7</xdr:col>
                <xdr:colOff>895350</xdr:colOff>
                <xdr:row>27</xdr:row>
                <xdr:rowOff>47625</xdr:rowOff>
              </to>
            </anchor>
          </objectPr>
        </oleObject>
      </mc:Choice>
      <mc:Fallback>
        <oleObject progId="AutoCAD.Drawing.17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LRFD-93 IRAN CODE</vt:lpstr>
      <vt:lpstr>Tables</vt:lpstr>
    </vt:vector>
  </TitlesOfParts>
  <Company>Office07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Sooran</dc:creator>
  <cp:lastModifiedBy>atec2</cp:lastModifiedBy>
  <dcterms:created xsi:type="dcterms:W3CDTF">2011-10-07T07:03:06Z</dcterms:created>
  <dcterms:modified xsi:type="dcterms:W3CDTF">2015-06-01T14:00:48Z</dcterms:modified>
</cp:coreProperties>
</file>