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8475" windowHeight="5385" tabRatio="241" activeTab="1"/>
  </bookViews>
  <sheets>
    <sheet name="تحلیل خرپا" sheetId="1" r:id="rId1"/>
    <sheet name="تحلیل خرپا-2" sheetId="2" r:id="rId2"/>
  </sheets>
  <calcPr calcId="124519"/>
</workbook>
</file>

<file path=xl/calcChain.xml><?xml version="1.0" encoding="utf-8"?>
<calcChain xmlns="http://schemas.openxmlformats.org/spreadsheetml/2006/main">
  <c r="O23" i="2"/>
  <c r="M38"/>
  <c r="U134"/>
  <c r="U133"/>
  <c r="U132"/>
  <c r="U131"/>
  <c r="U130"/>
  <c r="U129"/>
  <c r="U128"/>
  <c r="U127"/>
  <c r="U125"/>
  <c r="U124"/>
  <c r="U123"/>
  <c r="U122"/>
  <c r="U126"/>
  <c r="E77"/>
  <c r="E41"/>
  <c r="E38"/>
  <c r="C34"/>
  <c r="E89" s="1"/>
  <c r="E36"/>
  <c r="G37"/>
  <c r="G35"/>
  <c r="G34"/>
  <c r="E31"/>
  <c r="G32"/>
  <c r="G31"/>
  <c r="S33" s="1"/>
  <c r="G30"/>
  <c r="E30"/>
  <c r="S31" s="1"/>
  <c r="C35"/>
  <c r="D41"/>
  <c r="K43" s="1"/>
  <c r="F26"/>
  <c r="B41" s="1"/>
  <c r="D44" s="1"/>
  <c r="E2"/>
  <c r="C37"/>
  <c r="C38" s="1"/>
  <c r="E113" s="1"/>
  <c r="C33"/>
  <c r="C31"/>
  <c r="C30"/>
  <c r="C29"/>
  <c r="C28"/>
  <c r="C27"/>
  <c r="D27" s="1"/>
  <c r="R27" s="1"/>
  <c r="K32" i="1"/>
  <c r="L32"/>
  <c r="K30"/>
  <c r="K31"/>
  <c r="L31"/>
  <c r="L30"/>
  <c r="Q16"/>
  <c r="H42"/>
  <c r="I42" s="1"/>
  <c r="H41"/>
  <c r="I41" s="1"/>
  <c r="H40"/>
  <c r="I40" s="1"/>
  <c r="H39"/>
  <c r="I39" s="1"/>
  <c r="H36"/>
  <c r="I36" s="1"/>
  <c r="H33"/>
  <c r="I33" s="1"/>
  <c r="H34"/>
  <c r="I34" s="1"/>
  <c r="H35"/>
  <c r="I35" s="1"/>
  <c r="H32"/>
  <c r="I32" s="1"/>
  <c r="H30"/>
  <c r="I30" s="1"/>
  <c r="H31"/>
  <c r="I31" s="1"/>
  <c r="H37"/>
  <c r="I37" s="1"/>
  <c r="H38"/>
  <c r="I38" s="1"/>
  <c r="M25" i="2" l="1"/>
  <c r="M26"/>
  <c r="M29"/>
  <c r="M27"/>
  <c r="M28"/>
  <c r="M30"/>
  <c r="M31"/>
  <c r="M32"/>
  <c r="M33"/>
  <c r="M34"/>
  <c r="M35"/>
  <c r="M36"/>
  <c r="M37"/>
  <c r="A42"/>
  <c r="D45"/>
  <c r="E47"/>
  <c r="E53"/>
  <c r="E59"/>
  <c r="E65"/>
  <c r="E71"/>
  <c r="E83"/>
  <c r="E95"/>
  <c r="E107"/>
  <c r="B43"/>
  <c r="C44"/>
  <c r="H43"/>
  <c r="I43"/>
  <c r="J43"/>
  <c r="E4"/>
  <c r="B42"/>
  <c r="D42"/>
  <c r="F119" s="1"/>
  <c r="A43"/>
  <c r="C43"/>
  <c r="E120" s="1"/>
  <c r="D43"/>
  <c r="F120" s="1"/>
  <c r="A44"/>
  <c r="B122" s="1"/>
  <c r="A45"/>
  <c r="B123" s="1"/>
  <c r="B44"/>
  <c r="C122" s="1"/>
  <c r="B45"/>
  <c r="C123" s="1"/>
  <c r="C45"/>
  <c r="D47"/>
  <c r="D53"/>
  <c r="D59"/>
  <c r="K61" s="1"/>
  <c r="D32"/>
  <c r="B3"/>
  <c r="B4"/>
  <c r="F35"/>
  <c r="B95" s="1"/>
  <c r="H97" s="1"/>
  <c r="D30"/>
  <c r="F29"/>
  <c r="R30" s="1"/>
  <c r="F28"/>
  <c r="F27"/>
  <c r="B47" s="1"/>
  <c r="C36"/>
  <c r="E101" s="1"/>
  <c r="D2" l="1"/>
  <c r="R31"/>
  <c r="D63"/>
  <c r="D57"/>
  <c r="B57"/>
  <c r="H127" s="1"/>
  <c r="D55"/>
  <c r="J125" s="1"/>
  <c r="B55"/>
  <c r="B63"/>
  <c r="D61"/>
  <c r="D127" s="1"/>
  <c r="B61"/>
  <c r="C98"/>
  <c r="A98"/>
  <c r="A96"/>
  <c r="C96" s="1"/>
  <c r="D51"/>
  <c r="C51"/>
  <c r="B51"/>
  <c r="A51"/>
  <c r="D50"/>
  <c r="C50"/>
  <c r="B50"/>
  <c r="A50"/>
  <c r="D49"/>
  <c r="H123" s="1"/>
  <c r="C49"/>
  <c r="B49"/>
  <c r="A49"/>
  <c r="D48"/>
  <c r="B48"/>
  <c r="A48"/>
  <c r="C48" s="1"/>
  <c r="F125"/>
  <c r="I55"/>
  <c r="J97"/>
  <c r="I61"/>
  <c r="K55"/>
  <c r="K49"/>
  <c r="J49"/>
  <c r="I49"/>
  <c r="H49"/>
  <c r="J121"/>
  <c r="D126"/>
  <c r="C42"/>
  <c r="E119" s="1"/>
  <c r="D65"/>
  <c r="E3"/>
  <c r="E125"/>
  <c r="F124"/>
  <c r="E124"/>
  <c r="F122"/>
  <c r="G122"/>
  <c r="B129"/>
  <c r="L119"/>
  <c r="B5"/>
  <c r="F30"/>
  <c r="R32" s="1"/>
  <c r="D28"/>
  <c r="B7"/>
  <c r="F31"/>
  <c r="R33" s="1"/>
  <c r="D29"/>
  <c r="B9"/>
  <c r="F38"/>
  <c r="F5"/>
  <c r="D36"/>
  <c r="F6" s="1"/>
  <c r="F32"/>
  <c r="D6"/>
  <c r="B8" l="1"/>
  <c r="R29"/>
  <c r="B53"/>
  <c r="R28"/>
  <c r="A54"/>
  <c r="C54" s="1"/>
  <c r="D54"/>
  <c r="A55"/>
  <c r="C55"/>
  <c r="A56"/>
  <c r="B56"/>
  <c r="C56"/>
  <c r="D56"/>
  <c r="A57"/>
  <c r="C57"/>
  <c r="B67"/>
  <c r="D67"/>
  <c r="B69"/>
  <c r="B54"/>
  <c r="D69"/>
  <c r="H122"/>
  <c r="G123"/>
  <c r="H55"/>
  <c r="J55"/>
  <c r="K67"/>
  <c r="I67"/>
  <c r="B119"/>
  <c r="H3"/>
  <c r="L4" s="1"/>
  <c r="I124"/>
  <c r="J124"/>
  <c r="I125"/>
  <c r="G126"/>
  <c r="H124"/>
  <c r="G127"/>
  <c r="D7"/>
  <c r="B77"/>
  <c r="D3"/>
  <c r="B65"/>
  <c r="D71"/>
  <c r="E5"/>
  <c r="M132"/>
  <c r="O130"/>
  <c r="B59"/>
  <c r="D5"/>
  <c r="D34"/>
  <c r="B6"/>
  <c r="D31"/>
  <c r="B71" s="1"/>
  <c r="L18" l="1"/>
  <c r="L19" s="1"/>
  <c r="L16"/>
  <c r="L17" s="1"/>
  <c r="L13"/>
  <c r="L14" s="1"/>
  <c r="L15" s="1"/>
  <c r="L12"/>
  <c r="L11"/>
  <c r="L10"/>
  <c r="L7"/>
  <c r="L6"/>
  <c r="L8" s="1"/>
  <c r="L5"/>
  <c r="L9" s="1"/>
  <c r="A72"/>
  <c r="C72" s="1"/>
  <c r="D72"/>
  <c r="A73"/>
  <c r="C73"/>
  <c r="A74"/>
  <c r="B74"/>
  <c r="C74"/>
  <c r="D74"/>
  <c r="A75"/>
  <c r="C75"/>
  <c r="A60"/>
  <c r="C60" s="1"/>
  <c r="D60"/>
  <c r="A61"/>
  <c r="C61"/>
  <c r="A62"/>
  <c r="B62"/>
  <c r="C62"/>
  <c r="D62"/>
  <c r="A63"/>
  <c r="C63"/>
  <c r="B60"/>
  <c r="B72"/>
  <c r="B73"/>
  <c r="D73"/>
  <c r="B75"/>
  <c r="D75"/>
  <c r="A66"/>
  <c r="C66" s="1"/>
  <c r="D66"/>
  <c r="A67"/>
  <c r="C67"/>
  <c r="A68"/>
  <c r="B68"/>
  <c r="C68"/>
  <c r="D68"/>
  <c r="A69"/>
  <c r="C69"/>
  <c r="A78"/>
  <c r="C78" s="1"/>
  <c r="A80"/>
  <c r="C80"/>
  <c r="B66"/>
  <c r="H73"/>
  <c r="J73"/>
  <c r="H61"/>
  <c r="J61"/>
  <c r="K73"/>
  <c r="I73"/>
  <c r="H67"/>
  <c r="J67"/>
  <c r="H79"/>
  <c r="J79"/>
  <c r="P131"/>
  <c r="Q131"/>
  <c r="P132"/>
  <c r="N133"/>
  <c r="O133"/>
  <c r="N134"/>
  <c r="K126"/>
  <c r="K127"/>
  <c r="I128"/>
  <c r="J128"/>
  <c r="O134"/>
  <c r="Q132"/>
  <c r="O129"/>
  <c r="N130"/>
  <c r="L131"/>
  <c r="M131"/>
  <c r="L132"/>
  <c r="E122"/>
  <c r="E129"/>
  <c r="D4"/>
  <c r="D33"/>
  <c r="F2"/>
  <c r="F34"/>
  <c r="I121" l="1"/>
  <c r="I129"/>
  <c r="L122"/>
  <c r="N129"/>
  <c r="F3"/>
  <c r="F37"/>
  <c r="D8"/>
  <c r="F33"/>
  <c r="B89" l="1"/>
  <c r="B83"/>
  <c r="D9"/>
  <c r="F36"/>
  <c r="B101" s="1"/>
  <c r="F9"/>
  <c r="D38"/>
  <c r="B113" s="1"/>
  <c r="A114" l="1"/>
  <c r="C114" s="1"/>
  <c r="A116"/>
  <c r="C116"/>
  <c r="C104"/>
  <c r="A104"/>
  <c r="A102"/>
  <c r="C102" s="1"/>
  <c r="A84"/>
  <c r="C84" s="1"/>
  <c r="A86"/>
  <c r="C86"/>
  <c r="C92"/>
  <c r="A92"/>
  <c r="A90"/>
  <c r="C90" s="1"/>
  <c r="H115"/>
  <c r="J115"/>
  <c r="J103"/>
  <c r="H103"/>
  <c r="H85"/>
  <c r="J85"/>
  <c r="J91"/>
  <c r="H91"/>
  <c r="H2"/>
  <c r="L124"/>
  <c r="L129"/>
  <c r="G131"/>
  <c r="N131"/>
  <c r="I126"/>
  <c r="I133"/>
  <c r="F7"/>
  <c r="D37"/>
  <c r="G129" l="1"/>
  <c r="P126"/>
  <c r="N124"/>
  <c r="K133"/>
  <c r="P128"/>
  <c r="K128"/>
  <c r="F8"/>
  <c r="B107"/>
  <c r="C110" l="1"/>
  <c r="A110"/>
  <c r="A108"/>
  <c r="C108" s="1"/>
  <c r="J109"/>
  <c r="H109"/>
  <c r="G124"/>
  <c r="G133"/>
  <c r="P133"/>
  <c r="P124" l="1"/>
  <c r="E7"/>
  <c r="G33"/>
  <c r="D77"/>
  <c r="E9" l="1"/>
  <c r="S32"/>
  <c r="D81"/>
  <c r="B78"/>
  <c r="B79"/>
  <c r="D79"/>
  <c r="B81"/>
  <c r="D78"/>
  <c r="A79"/>
  <c r="C79"/>
  <c r="B80"/>
  <c r="D80"/>
  <c r="A81"/>
  <c r="C81"/>
  <c r="F130"/>
  <c r="K79"/>
  <c r="I79"/>
  <c r="D83"/>
  <c r="E130"/>
  <c r="F129"/>
  <c r="L123"/>
  <c r="M122"/>
  <c r="M123"/>
  <c r="F123"/>
  <c r="E123"/>
  <c r="B84" l="1"/>
  <c r="B85"/>
  <c r="D85"/>
  <c r="B87"/>
  <c r="D87"/>
  <c r="D84"/>
  <c r="A85"/>
  <c r="C85"/>
  <c r="B86"/>
  <c r="D86"/>
  <c r="A87"/>
  <c r="C87"/>
  <c r="K85"/>
  <c r="I85"/>
  <c r="H132"/>
  <c r="O131"/>
  <c r="O132"/>
  <c r="O125"/>
  <c r="N132"/>
  <c r="O124"/>
  <c r="N125"/>
  <c r="H131"/>
  <c r="G132"/>
  <c r="G3"/>
  <c r="D89"/>
  <c r="D93" l="1"/>
  <c r="B93"/>
  <c r="D91"/>
  <c r="B91"/>
  <c r="B90"/>
  <c r="C93"/>
  <c r="A93"/>
  <c r="D92"/>
  <c r="B92"/>
  <c r="C91"/>
  <c r="A91"/>
  <c r="D90"/>
  <c r="K91"/>
  <c r="I91"/>
  <c r="G5"/>
  <c r="D95"/>
  <c r="J134"/>
  <c r="J126"/>
  <c r="J127"/>
  <c r="Q127"/>
  <c r="Q126"/>
  <c r="P127"/>
  <c r="J133"/>
  <c r="I134"/>
  <c r="I127"/>
  <c r="B96" l="1"/>
  <c r="B97"/>
  <c r="D97"/>
  <c r="B99"/>
  <c r="D99"/>
  <c r="C99"/>
  <c r="A99"/>
  <c r="D98"/>
  <c r="B98"/>
  <c r="C97"/>
  <c r="A97"/>
  <c r="D96"/>
  <c r="K97"/>
  <c r="I97"/>
  <c r="G9"/>
  <c r="D107"/>
  <c r="G6"/>
  <c r="D101"/>
  <c r="C130"/>
  <c r="C119"/>
  <c r="C120"/>
  <c r="M120"/>
  <c r="B130"/>
  <c r="C129"/>
  <c r="L120"/>
  <c r="B120"/>
  <c r="M119"/>
  <c r="D105" l="1"/>
  <c r="B105"/>
  <c r="D103"/>
  <c r="B103"/>
  <c r="B102"/>
  <c r="C105"/>
  <c r="A105"/>
  <c r="D104"/>
  <c r="B104"/>
  <c r="C103"/>
  <c r="A103"/>
  <c r="D102"/>
  <c r="D111"/>
  <c r="B111"/>
  <c r="D109"/>
  <c r="B109"/>
  <c r="B108"/>
  <c r="C111"/>
  <c r="A111"/>
  <c r="D110"/>
  <c r="B110"/>
  <c r="C109"/>
  <c r="A109"/>
  <c r="D108"/>
  <c r="K103"/>
  <c r="I103"/>
  <c r="K109"/>
  <c r="I109"/>
  <c r="M125"/>
  <c r="M130"/>
  <c r="M129"/>
  <c r="L130"/>
  <c r="H130"/>
  <c r="L125"/>
  <c r="M124"/>
  <c r="G130"/>
  <c r="H129"/>
  <c r="I2"/>
  <c r="D113"/>
  <c r="H134"/>
  <c r="Q125"/>
  <c r="Q124"/>
  <c r="P125"/>
  <c r="H133"/>
  <c r="G134"/>
  <c r="D117" l="1"/>
  <c r="B114"/>
  <c r="B115"/>
  <c r="D115"/>
  <c r="B117"/>
  <c r="D114"/>
  <c r="A115"/>
  <c r="C115"/>
  <c r="B116"/>
  <c r="D116"/>
  <c r="D128" s="1"/>
  <c r="A117"/>
  <c r="C117"/>
  <c r="K121" s="1"/>
  <c r="G125"/>
  <c r="H125"/>
  <c r="K115"/>
  <c r="I115"/>
  <c r="Q133"/>
  <c r="P134"/>
  <c r="Q134"/>
  <c r="D133"/>
  <c r="Q128"/>
  <c r="P121"/>
  <c r="Q121"/>
  <c r="D134"/>
  <c r="D121"/>
  <c r="K134"/>
  <c r="G148" l="1"/>
  <c r="W33" s="1"/>
  <c r="G147"/>
  <c r="G136"/>
  <c r="G146"/>
  <c r="G145"/>
  <c r="V32" s="1"/>
  <c r="G144"/>
  <c r="G143"/>
  <c r="G142"/>
  <c r="V30" s="1"/>
  <c r="G141"/>
  <c r="W29" s="1"/>
  <c r="G140"/>
  <c r="V29" s="1"/>
  <c r="G139"/>
  <c r="W28" s="1"/>
  <c r="G138"/>
  <c r="G137"/>
  <c r="W27" s="1"/>
  <c r="M48"/>
  <c r="M49"/>
  <c r="M78"/>
  <c r="M44"/>
  <c r="F15" l="1"/>
  <c r="V28"/>
  <c r="F10"/>
  <c r="F14"/>
  <c r="V31"/>
  <c r="E15"/>
  <c r="W31"/>
  <c r="E17"/>
  <c r="W32"/>
  <c r="B11"/>
  <c r="V27"/>
  <c r="H10"/>
  <c r="V33"/>
  <c r="C13"/>
  <c r="G15"/>
  <c r="C14"/>
  <c r="C15"/>
  <c r="D11"/>
  <c r="D17"/>
  <c r="D12"/>
  <c r="C11"/>
  <c r="C12"/>
  <c r="B15"/>
  <c r="B16" s="1"/>
  <c r="B17"/>
  <c r="H11"/>
  <c r="J4" s="1"/>
  <c r="E14"/>
  <c r="F16"/>
  <c r="D16"/>
  <c r="B13"/>
  <c r="B14" s="1"/>
  <c r="G16"/>
  <c r="E16"/>
  <c r="C16"/>
  <c r="G10"/>
  <c r="F13"/>
  <c r="D15"/>
  <c r="D10"/>
  <c r="G13"/>
  <c r="G14" s="1"/>
  <c r="E10"/>
  <c r="E11"/>
  <c r="D14"/>
  <c r="B12"/>
  <c r="F17"/>
  <c r="F11"/>
  <c r="D13"/>
  <c r="G17"/>
  <c r="I10" s="1"/>
  <c r="G11"/>
  <c r="E13"/>
  <c r="K143"/>
  <c r="R38" s="1"/>
  <c r="K142"/>
  <c r="R37" s="1"/>
  <c r="K141"/>
  <c r="R36" s="1"/>
  <c r="M102"/>
  <c r="M98"/>
  <c r="M80"/>
  <c r="M66"/>
  <c r="M103"/>
  <c r="M99"/>
  <c r="M81"/>
  <c r="M67"/>
  <c r="M86"/>
  <c r="M72"/>
  <c r="M68"/>
  <c r="M87"/>
  <c r="M73"/>
  <c r="M69"/>
  <c r="M114"/>
  <c r="M110"/>
  <c r="M92"/>
  <c r="M74"/>
  <c r="M115"/>
  <c r="M111"/>
  <c r="M93"/>
  <c r="M75"/>
  <c r="M50"/>
  <c r="M108"/>
  <c r="M104"/>
  <c r="M84"/>
  <c r="M54"/>
  <c r="M51"/>
  <c r="M109"/>
  <c r="M105"/>
  <c r="M85"/>
  <c r="M55"/>
  <c r="M90"/>
  <c r="M60"/>
  <c r="M56"/>
  <c r="M57"/>
  <c r="M91"/>
  <c r="M61"/>
  <c r="M45"/>
  <c r="M79"/>
  <c r="O79" s="1"/>
  <c r="K32" s="1"/>
  <c r="M62"/>
  <c r="M116"/>
  <c r="O43"/>
  <c r="K26" s="1"/>
  <c r="L26" s="1"/>
  <c r="J5" l="1"/>
  <c r="J6"/>
  <c r="J16"/>
  <c r="J13"/>
  <c r="J14" s="1"/>
  <c r="J15" s="1"/>
  <c r="J12"/>
  <c r="J11"/>
  <c r="J10"/>
  <c r="J7"/>
  <c r="J8"/>
  <c r="J9"/>
  <c r="N26"/>
  <c r="O26"/>
  <c r="L32"/>
  <c r="E12"/>
  <c r="O61"/>
  <c r="K29" s="1"/>
  <c r="L29" s="1"/>
  <c r="O55"/>
  <c r="K28" s="1"/>
  <c r="L28" s="1"/>
  <c r="O73"/>
  <c r="K31" s="1"/>
  <c r="L31" s="1"/>
  <c r="O67"/>
  <c r="K30" s="1"/>
  <c r="L30" s="1"/>
  <c r="O91"/>
  <c r="K34" s="1"/>
  <c r="L34" s="1"/>
  <c r="O85"/>
  <c r="K33" s="1"/>
  <c r="L33" s="1"/>
  <c r="O109"/>
  <c r="K37" s="1"/>
  <c r="L37" s="1"/>
  <c r="O49"/>
  <c r="K27" s="1"/>
  <c r="L27" s="1"/>
  <c r="O115"/>
  <c r="K38" s="1"/>
  <c r="L38" s="1"/>
  <c r="O97"/>
  <c r="K35" s="1"/>
  <c r="L35" s="1"/>
  <c r="O103"/>
  <c r="K36" s="1"/>
  <c r="L36" s="1"/>
  <c r="J18" l="1"/>
  <c r="J19" s="1"/>
  <c r="J17"/>
  <c r="N36"/>
  <c r="O36"/>
  <c r="N35"/>
  <c r="O35"/>
  <c r="N38"/>
  <c r="O38"/>
  <c r="N27"/>
  <c r="O27"/>
  <c r="N37"/>
  <c r="O37"/>
  <c r="N33"/>
  <c r="O33"/>
  <c r="N34"/>
  <c r="O34"/>
  <c r="N30"/>
  <c r="O30"/>
  <c r="N31"/>
  <c r="O31"/>
  <c r="N28"/>
  <c r="O28"/>
  <c r="N29"/>
  <c r="O29"/>
  <c r="N32"/>
  <c r="O32"/>
</calcChain>
</file>

<file path=xl/comments1.xml><?xml version="1.0" encoding="utf-8"?>
<comments xmlns="http://schemas.openxmlformats.org/spreadsheetml/2006/main">
  <authors>
    <author>Dear User!</author>
  </authors>
  <commentList>
    <comment ref="G20" authorId="0">
      <text>
        <r>
          <rPr>
            <b/>
            <sz val="8"/>
            <color indexed="81"/>
            <rFont val="Tahoma"/>
            <family val="2"/>
          </rPr>
          <t xml:space="preserve">   این برنامه توسط "سالار دلاور قشقایی" نوشته شده است.
1388/5/20
</t>
        </r>
      </text>
    </comment>
  </commentList>
</comments>
</file>

<file path=xl/comments2.xml><?xml version="1.0" encoding="utf-8"?>
<comments xmlns="http://schemas.openxmlformats.org/spreadsheetml/2006/main">
  <authors>
    <author>MRT</author>
    <author>Ghashghaei</author>
  </authors>
  <commentList>
    <comment ref="C24" authorId="0">
      <text>
        <r>
          <rPr>
            <b/>
            <sz val="10"/>
            <color indexed="81"/>
            <rFont val="Tahoma"/>
            <family val="2"/>
          </rPr>
          <t>m</t>
        </r>
        <r>
          <rPr>
            <sz val="8"/>
            <color indexed="81"/>
            <rFont val="Tahoma"/>
          </rPr>
          <t xml:space="preserve">
</t>
        </r>
      </text>
    </comment>
    <comment ref="H24" authorId="0">
      <text>
        <r>
          <rPr>
            <b/>
            <sz val="8"/>
            <color indexed="81"/>
            <rFont val="Tahoma"/>
            <family val="2"/>
          </rPr>
          <t>cm^2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4" authorId="0">
      <text>
        <r>
          <rPr>
            <b/>
            <sz val="8"/>
            <color indexed="81"/>
            <rFont val="Tahoma"/>
            <family val="2"/>
          </rPr>
          <t>Kg/cm^2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8"/>
            <color indexed="81"/>
            <rFont val="Tahoma"/>
            <family val="2"/>
          </rPr>
          <t>Kg/cm^2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4" authorId="0">
      <text>
        <r>
          <rPr>
            <b/>
            <sz val="8"/>
            <color indexed="81"/>
            <rFont val="Tahoma"/>
            <family val="2"/>
          </rPr>
          <t>Ton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24" authorId="1">
      <text>
        <r>
          <rPr>
            <b/>
            <sz val="8"/>
            <color indexed="81"/>
            <rFont val="Arial Black"/>
            <family val="2"/>
          </rPr>
          <t>Factor of safety</t>
        </r>
        <r>
          <rPr>
            <sz val="8"/>
            <color indexed="81"/>
            <rFont val="Tahoma"/>
          </rPr>
          <t xml:space="preserve">
</t>
        </r>
      </text>
    </comment>
    <comment ref="O24" authorId="0">
      <text>
        <r>
          <rPr>
            <b/>
            <sz val="8"/>
            <color indexed="81"/>
            <rFont val="Tahoma"/>
            <family val="2"/>
          </rPr>
          <t>(P/A)/(</t>
        </r>
        <r>
          <rPr>
            <b/>
            <sz val="8"/>
            <color indexed="81"/>
            <rFont val="Arial"/>
            <family val="2"/>
          </rPr>
          <t>Φfy)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25" authorId="0">
      <text>
        <r>
          <rPr>
            <b/>
            <sz val="8"/>
            <color indexed="81"/>
            <rFont val="Tahoma"/>
            <family val="2"/>
          </rPr>
          <t>Kg/cm^2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5" authorId="0">
      <text>
        <r>
          <rPr>
            <b/>
            <sz val="8"/>
            <color indexed="81"/>
            <rFont val="Tahoma"/>
            <family val="2"/>
          </rPr>
          <t>Ton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5" authorId="0">
      <text>
        <r>
          <rPr>
            <b/>
            <sz val="8"/>
            <color indexed="81"/>
            <rFont val="Tahoma"/>
            <family val="2"/>
          </rPr>
          <t>Ton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25" authorId="0">
      <text>
        <r>
          <rPr>
            <b/>
            <sz val="8"/>
            <color indexed="81"/>
            <rFont val="Tahoma"/>
            <family val="2"/>
          </rPr>
          <t>cm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25" authorId="0">
      <text>
        <r>
          <rPr>
            <b/>
            <sz val="8"/>
            <color indexed="81"/>
            <rFont val="Tahoma"/>
            <family val="2"/>
          </rPr>
          <t>cm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35" authorId="0">
      <text>
        <r>
          <rPr>
            <b/>
            <sz val="8"/>
            <color indexed="81"/>
            <rFont val="Tahoma"/>
            <family val="2"/>
          </rPr>
          <t>Ton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3" authorId="1">
      <text>
        <r>
          <rPr>
            <b/>
            <sz val="8"/>
            <color indexed="81"/>
            <rFont val="Tahoma"/>
            <family val="2"/>
          </rPr>
          <t>Stiffness matrix of member 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<sst xmlns="http://schemas.openxmlformats.org/spreadsheetml/2006/main" count="155" uniqueCount="89">
  <si>
    <t>FaB</t>
  </si>
  <si>
    <t>Fab</t>
  </si>
  <si>
    <t>FBb</t>
  </si>
  <si>
    <t>FBc</t>
  </si>
  <si>
    <t>FBC</t>
  </si>
  <si>
    <t>Fbc</t>
  </si>
  <si>
    <t>FCc</t>
  </si>
  <si>
    <t>FCD</t>
  </si>
  <si>
    <t>FcD</t>
  </si>
  <si>
    <t>Fcd</t>
  </si>
  <si>
    <t>FdD</t>
  </si>
  <si>
    <t>Fde</t>
  </si>
  <si>
    <t>FDe</t>
  </si>
  <si>
    <t>tension</t>
  </si>
  <si>
    <t>compression</t>
  </si>
  <si>
    <t xml:space="preserve"> محاسبه شده</t>
  </si>
  <si>
    <t>PC(v)…(kg)</t>
  </si>
  <si>
    <t>PC(H)…(kg)</t>
  </si>
  <si>
    <t>P2…(kg)</t>
  </si>
  <si>
    <t>PB(v)…(kg)</t>
  </si>
  <si>
    <t>PB(H)…(kg)</t>
  </si>
  <si>
    <t>P1…(kg)</t>
  </si>
  <si>
    <t>PD(v)…(kg)</t>
  </si>
  <si>
    <t>PD(H)…(kg)</t>
  </si>
  <si>
    <t>P3…(kg)</t>
  </si>
  <si>
    <t>Re(v)..(kg)</t>
  </si>
  <si>
    <t>Ra(v)…(kg)</t>
  </si>
  <si>
    <t>Ra(H)…(kg)</t>
  </si>
  <si>
    <t>L' (cm)</t>
  </si>
  <si>
    <t>L (cm)</t>
  </si>
  <si>
    <t>پیش فرض</t>
  </si>
  <si>
    <t>عکس العمل تکیه گاهی</t>
  </si>
  <si>
    <t>محاسبه شده</t>
  </si>
  <si>
    <t>member</t>
  </si>
  <si>
    <t>start</t>
  </si>
  <si>
    <t>end</t>
  </si>
  <si>
    <t>A</t>
  </si>
  <si>
    <t>E</t>
  </si>
  <si>
    <t>x</t>
  </si>
  <si>
    <t>y</t>
  </si>
  <si>
    <t>node</t>
  </si>
  <si>
    <t>Fy</t>
  </si>
  <si>
    <t>lanada-x</t>
  </si>
  <si>
    <t>landa-y</t>
  </si>
  <si>
    <t>Q1</t>
  </si>
  <si>
    <t>Q2</t>
  </si>
  <si>
    <t>Q10</t>
  </si>
  <si>
    <t>D3</t>
  </si>
  <si>
    <t>D4</t>
  </si>
  <si>
    <t>D5</t>
  </si>
  <si>
    <t>D6</t>
  </si>
  <si>
    <t>D7</t>
  </si>
  <si>
    <t>D8</t>
  </si>
  <si>
    <t>D9</t>
  </si>
  <si>
    <t>D11</t>
  </si>
  <si>
    <t>D12</t>
  </si>
  <si>
    <t>D13</t>
  </si>
  <si>
    <t>D14</t>
  </si>
  <si>
    <t>D15</t>
  </si>
  <si>
    <t>D16</t>
  </si>
  <si>
    <t>q1=</t>
  </si>
  <si>
    <t>q2=</t>
  </si>
  <si>
    <t>q3=</t>
  </si>
  <si>
    <t>q4=</t>
  </si>
  <si>
    <t>q5=</t>
  </si>
  <si>
    <t>q6=</t>
  </si>
  <si>
    <t>q7=</t>
  </si>
  <si>
    <t>q8=</t>
  </si>
  <si>
    <t>q9=</t>
  </si>
  <si>
    <t>q10=</t>
  </si>
  <si>
    <t>q11=</t>
  </si>
  <si>
    <t>q12=</t>
  </si>
  <si>
    <t>q13=</t>
  </si>
  <si>
    <t>Px</t>
  </si>
  <si>
    <t>Py</t>
  </si>
  <si>
    <t>Ux</t>
  </si>
  <si>
    <t>Uy</t>
  </si>
  <si>
    <t>P</t>
  </si>
  <si>
    <t>P/A</t>
  </si>
  <si>
    <t>F.S</t>
  </si>
  <si>
    <t>1-x</t>
  </si>
  <si>
    <t>1-y</t>
  </si>
  <si>
    <t>5-y</t>
  </si>
  <si>
    <t>reaction</t>
  </si>
  <si>
    <t>coordinate-Y</t>
  </si>
  <si>
    <t>coordinate-X</t>
  </si>
  <si>
    <t>stress ratio</t>
  </si>
  <si>
    <t>L</t>
  </si>
  <si>
    <t>=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</si>
</sst>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0.000"/>
  </numFmts>
  <fonts count="30">
    <font>
      <sz val="10"/>
      <name val="Arial"/>
    </font>
    <font>
      <sz val="10"/>
      <name val="Arial"/>
    </font>
    <font>
      <sz val="8"/>
      <name val="Arial"/>
    </font>
    <font>
      <b/>
      <i/>
      <sz val="10"/>
      <color indexed="48"/>
      <name val="Arial"/>
      <family val="2"/>
    </font>
    <font>
      <b/>
      <i/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53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1"/>
      <color indexed="20"/>
      <name val="Impact"/>
      <family val="2"/>
    </font>
    <font>
      <b/>
      <i/>
      <sz val="14"/>
      <color indexed="20"/>
      <name val="Impact"/>
      <family val="2"/>
    </font>
    <font>
      <b/>
      <sz val="14"/>
      <color indexed="8"/>
      <name val="Arial Black"/>
      <family val="2"/>
    </font>
    <font>
      <b/>
      <sz val="12"/>
      <color indexed="57"/>
      <name val="Arial"/>
      <family val="2"/>
    </font>
    <font>
      <b/>
      <sz val="8"/>
      <color indexed="81"/>
      <name val="Tahoma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0"/>
      <color indexed="22"/>
      <name val="Arial"/>
    </font>
    <font>
      <b/>
      <i/>
      <sz val="14"/>
      <color indexed="20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0070C0"/>
      <name val="Arial"/>
      <family val="2"/>
    </font>
    <font>
      <sz val="10"/>
      <color theme="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b/>
      <sz val="8"/>
      <color indexed="81"/>
      <name val="Arial"/>
      <family val="2"/>
    </font>
    <font>
      <sz val="8"/>
      <color indexed="81"/>
      <name val="Tahoma"/>
    </font>
    <font>
      <b/>
      <sz val="10"/>
      <color indexed="81"/>
      <name val="Tahoma"/>
      <family val="2"/>
    </font>
    <font>
      <b/>
      <sz val="8"/>
      <color indexed="81"/>
      <name val="Arial Black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14"/>
      </right>
      <top/>
      <bottom/>
      <diagonal/>
    </border>
    <border>
      <left style="medium">
        <color indexed="14"/>
      </left>
      <right/>
      <top/>
      <bottom style="medium">
        <color indexed="14"/>
      </bottom>
      <diagonal/>
    </border>
    <border>
      <left/>
      <right/>
      <top/>
      <bottom style="medium">
        <color indexed="14"/>
      </bottom>
      <diagonal/>
    </border>
    <border>
      <left/>
      <right style="medium">
        <color indexed="14"/>
      </right>
      <top/>
      <bottom style="medium">
        <color indexed="14"/>
      </bottom>
      <diagonal/>
    </border>
    <border>
      <left style="medium">
        <color indexed="64"/>
      </left>
      <right style="medium">
        <color indexed="14"/>
      </right>
      <top style="medium">
        <color indexed="64"/>
      </top>
      <bottom style="medium">
        <color indexed="64"/>
      </bottom>
      <diagonal/>
    </border>
    <border>
      <left style="medium">
        <color indexed="1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DashDot">
        <color indexed="64"/>
      </right>
      <top/>
      <bottom/>
      <diagonal/>
    </border>
    <border>
      <left style="medium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/>
      <right style="medium">
        <color indexed="64"/>
      </right>
      <top/>
      <bottom style="mediumDashDot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Fill="1" applyAlignment="1">
      <alignment horizontal="center"/>
    </xf>
    <xf numFmtId="0" fontId="0" fillId="0" borderId="0" xfId="0" applyBorder="1"/>
    <xf numFmtId="0" fontId="11" fillId="2" borderId="1" xfId="0" applyFont="1" applyFill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16" fillId="0" borderId="0" xfId="0" applyFont="1" applyProtection="1">
      <protection hidden="1"/>
    </xf>
    <xf numFmtId="44" fontId="17" fillId="3" borderId="6" xfId="1" applyFont="1" applyFill="1" applyBorder="1" applyAlignment="1">
      <alignment horizontal="center"/>
    </xf>
    <xf numFmtId="0" fontId="0" fillId="0" borderId="7" xfId="0" applyBorder="1"/>
    <xf numFmtId="0" fontId="18" fillId="2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22" fillId="4" borderId="0" xfId="0" applyFont="1" applyFill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9" xfId="0" applyFill="1" applyBorder="1" applyAlignment="1" applyProtection="1">
      <alignment horizontal="center"/>
      <protection hidden="1"/>
    </xf>
    <xf numFmtId="0" fontId="22" fillId="4" borderId="9" xfId="0" applyFont="1" applyFill="1" applyBorder="1" applyAlignment="1" applyProtection="1">
      <alignment horizontal="center" vertical="center"/>
      <protection hidden="1"/>
    </xf>
    <xf numFmtId="0" fontId="19" fillId="4" borderId="17" xfId="0" applyFont="1" applyFill="1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center" vertical="center"/>
      <protection hidden="1"/>
    </xf>
    <xf numFmtId="0" fontId="0" fillId="4" borderId="38" xfId="0" applyFill="1" applyBorder="1" applyAlignment="1" applyProtection="1">
      <alignment horizontal="center"/>
      <protection hidden="1"/>
    </xf>
    <xf numFmtId="0" fontId="0" fillId="4" borderId="42" xfId="0" applyFill="1" applyBorder="1" applyAlignment="1" applyProtection="1">
      <alignment horizontal="center" vertical="center"/>
      <protection hidden="1"/>
    </xf>
    <xf numFmtId="0" fontId="24" fillId="4" borderId="17" xfId="0" applyFont="1" applyFill="1" applyBorder="1" applyAlignment="1" applyProtection="1">
      <alignment horizontal="center" vertical="center"/>
      <protection hidden="1"/>
    </xf>
    <xf numFmtId="0" fontId="0" fillId="4" borderId="21" xfId="0" applyFill="1" applyBorder="1" applyAlignment="1" applyProtection="1">
      <alignment horizontal="center" vertical="center"/>
      <protection hidden="1"/>
    </xf>
    <xf numFmtId="0" fontId="19" fillId="4" borderId="21" xfId="0" applyFont="1" applyFill="1" applyBorder="1" applyAlignment="1" applyProtection="1">
      <alignment horizontal="center" vertical="center"/>
      <protection hidden="1"/>
    </xf>
    <xf numFmtId="0" fontId="0" fillId="4" borderId="22" xfId="0" applyFill="1" applyBorder="1" applyAlignment="1" applyProtection="1">
      <alignment horizontal="center" vertical="center"/>
      <protection hidden="1"/>
    </xf>
    <xf numFmtId="0" fontId="0" fillId="4" borderId="41" xfId="0" applyFill="1" applyBorder="1" applyAlignment="1" applyProtection="1">
      <alignment horizontal="center" vertical="center"/>
      <protection hidden="1"/>
    </xf>
    <xf numFmtId="0" fontId="0" fillId="4" borderId="11" xfId="0" applyFill="1" applyBorder="1" applyAlignment="1" applyProtection="1">
      <alignment horizontal="center"/>
      <protection hidden="1"/>
    </xf>
    <xf numFmtId="0" fontId="20" fillId="4" borderId="10" xfId="0" applyFont="1" applyFill="1" applyBorder="1" applyAlignment="1" applyProtection="1">
      <alignment horizontal="center" vertical="center"/>
      <protection locked="0"/>
    </xf>
    <xf numFmtId="0" fontId="20" fillId="4" borderId="38" xfId="0" applyFont="1" applyFill="1" applyBorder="1" applyAlignment="1" applyProtection="1">
      <alignment horizontal="center" vertical="center"/>
      <protection locked="0"/>
    </xf>
    <xf numFmtId="0" fontId="0" fillId="4" borderId="38" xfId="0" applyFill="1" applyBorder="1" applyAlignment="1" applyProtection="1">
      <alignment horizontal="center" vertical="center"/>
      <protection hidden="1"/>
    </xf>
    <xf numFmtId="0" fontId="0" fillId="4" borderId="12" xfId="0" applyFill="1" applyBorder="1" applyAlignment="1" applyProtection="1">
      <alignment horizontal="center" vertical="center"/>
      <protection hidden="1"/>
    </xf>
    <xf numFmtId="0" fontId="0" fillId="4" borderId="36" xfId="0" applyFill="1" applyBorder="1" applyAlignment="1" applyProtection="1">
      <alignment horizontal="center" vertical="center"/>
      <protection hidden="1"/>
    </xf>
    <xf numFmtId="0" fontId="21" fillId="4" borderId="10" xfId="0" applyFont="1" applyFill="1" applyBorder="1" applyAlignment="1" applyProtection="1">
      <alignment horizontal="center" vertical="center"/>
      <protection locked="0"/>
    </xf>
    <xf numFmtId="0" fontId="21" fillId="4" borderId="38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center"/>
      <protection hidden="1"/>
    </xf>
    <xf numFmtId="0" fontId="0" fillId="4" borderId="43" xfId="0" applyFill="1" applyBorder="1" applyAlignment="1" applyProtection="1">
      <alignment horizontal="center" vertical="center"/>
      <protection hidden="1"/>
    </xf>
    <xf numFmtId="0" fontId="0" fillId="4" borderId="14" xfId="0" applyFill="1" applyBorder="1" applyAlignment="1" applyProtection="1">
      <alignment horizontal="center" vertical="center"/>
      <protection hidden="1"/>
    </xf>
    <xf numFmtId="0" fontId="21" fillId="4" borderId="14" xfId="0" applyFont="1" applyFill="1" applyBorder="1" applyAlignment="1" applyProtection="1">
      <alignment horizontal="center" vertical="center"/>
      <protection locked="0"/>
    </xf>
    <xf numFmtId="0" fontId="21" fillId="4" borderId="15" xfId="0" applyFont="1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hidden="1"/>
    </xf>
    <xf numFmtId="0" fontId="19" fillId="4" borderId="22" xfId="0" applyFont="1" applyFill="1" applyBorder="1" applyAlignment="1" applyProtection="1">
      <alignment horizontal="center"/>
      <protection hidden="1"/>
    </xf>
    <xf numFmtId="0" fontId="19" fillId="4" borderId="11" xfId="0" applyFont="1" applyFill="1" applyBorder="1" applyAlignment="1" applyProtection="1">
      <alignment horizontal="center" vertical="center"/>
      <protection hidden="1"/>
    </xf>
    <xf numFmtId="0" fontId="0" fillId="4" borderId="13" xfId="0" applyFill="1" applyBorder="1" applyAlignment="1" applyProtection="1">
      <alignment horizontal="center"/>
      <protection hidden="1"/>
    </xf>
    <xf numFmtId="0" fontId="20" fillId="4" borderId="14" xfId="0" applyFont="1" applyFill="1" applyBorder="1" applyAlignment="1" applyProtection="1">
      <alignment horizontal="center" vertical="center"/>
      <protection locked="0"/>
    </xf>
    <xf numFmtId="0" fontId="0" fillId="4" borderId="40" xfId="0" applyFill="1" applyBorder="1" applyAlignment="1" applyProtection="1">
      <alignment horizontal="center" vertical="center"/>
      <protection hidden="1"/>
    </xf>
    <xf numFmtId="0" fontId="19" fillId="4" borderId="13" xfId="0" applyFont="1" applyFill="1" applyBorder="1" applyAlignment="1" applyProtection="1">
      <alignment horizontal="center" vertical="center"/>
      <protection hidden="1"/>
    </xf>
    <xf numFmtId="0" fontId="0" fillId="4" borderId="24" xfId="0" applyFill="1" applyBorder="1" applyAlignment="1" applyProtection="1">
      <alignment horizontal="center"/>
      <protection hidden="1"/>
    </xf>
    <xf numFmtId="0" fontId="20" fillId="4" borderId="24" xfId="0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19" fillId="4" borderId="23" xfId="0" applyFont="1" applyFill="1" applyBorder="1" applyAlignment="1" applyProtection="1">
      <alignment horizontal="center" vertical="center"/>
      <protection hidden="1"/>
    </xf>
    <xf numFmtId="0" fontId="0" fillId="4" borderId="24" xfId="0" applyFill="1" applyBorder="1" applyAlignment="1" applyProtection="1">
      <alignment horizontal="center" vertical="center"/>
      <protection hidden="1"/>
    </xf>
    <xf numFmtId="0" fontId="19" fillId="4" borderId="24" xfId="0" applyFont="1" applyFill="1" applyBorder="1" applyAlignment="1" applyProtection="1">
      <alignment horizontal="center" vertical="center"/>
      <protection hidden="1"/>
    </xf>
    <xf numFmtId="0" fontId="0" fillId="4" borderId="25" xfId="0" applyFill="1" applyBorder="1" applyAlignment="1" applyProtection="1">
      <alignment horizontal="center"/>
      <protection hidden="1"/>
    </xf>
    <xf numFmtId="0" fontId="0" fillId="4" borderId="26" xfId="0" applyFill="1" applyBorder="1" applyAlignment="1" applyProtection="1">
      <alignment horizontal="center" vertical="center"/>
      <protection hidden="1"/>
    </xf>
    <xf numFmtId="0" fontId="0" fillId="4" borderId="0" xfId="0" applyFill="1" applyBorder="1" applyAlignment="1" applyProtection="1">
      <alignment horizontal="center" vertical="center"/>
      <protection hidden="1"/>
    </xf>
    <xf numFmtId="0" fontId="0" fillId="4" borderId="27" xfId="0" applyFill="1" applyBorder="1" applyAlignment="1" applyProtection="1">
      <alignment horizontal="center"/>
      <protection hidden="1"/>
    </xf>
    <xf numFmtId="0" fontId="0" fillId="4" borderId="35" xfId="0" applyNumberFormat="1" applyFill="1" applyBorder="1" applyAlignment="1" applyProtection="1">
      <alignment horizontal="center" vertical="center"/>
      <protection hidden="1"/>
    </xf>
    <xf numFmtId="0" fontId="0" fillId="4" borderId="26" xfId="0" applyFill="1" applyBorder="1" applyAlignment="1" applyProtection="1">
      <alignment horizontal="center"/>
      <protection hidden="1"/>
    </xf>
    <xf numFmtId="0" fontId="19" fillId="4" borderId="27" xfId="0" applyFont="1" applyFill="1" applyBorder="1" applyAlignment="1" applyProtection="1">
      <alignment horizontal="center" vertical="center"/>
      <protection hidden="1"/>
    </xf>
    <xf numFmtId="0" fontId="0" fillId="4" borderId="27" xfId="0" applyFill="1" applyBorder="1" applyAlignment="1" applyProtection="1">
      <alignment horizontal="center" vertical="center"/>
      <protection hidden="1"/>
    </xf>
    <xf numFmtId="0" fontId="19" fillId="4" borderId="35" xfId="0" applyFont="1" applyFill="1" applyBorder="1" applyAlignment="1" applyProtection="1">
      <alignment horizontal="center" vertical="center"/>
      <protection hidden="1"/>
    </xf>
    <xf numFmtId="0" fontId="0" fillId="4" borderId="28" xfId="0" applyFill="1" applyBorder="1" applyAlignment="1" applyProtection="1">
      <alignment horizontal="center" vertical="center"/>
      <protection hidden="1"/>
    </xf>
    <xf numFmtId="0" fontId="0" fillId="4" borderId="9" xfId="0" applyFill="1" applyBorder="1" applyAlignment="1" applyProtection="1">
      <alignment horizontal="center" vertical="center"/>
      <protection hidden="1"/>
    </xf>
    <xf numFmtId="0" fontId="0" fillId="4" borderId="29" xfId="0" applyFill="1" applyBorder="1" applyAlignment="1" applyProtection="1">
      <alignment horizontal="center"/>
      <protection hidden="1"/>
    </xf>
    <xf numFmtId="0" fontId="0" fillId="4" borderId="0" xfId="0" applyNumberFormat="1" applyFill="1" applyAlignment="1" applyProtection="1">
      <alignment horizontal="center"/>
      <protection hidden="1"/>
    </xf>
    <xf numFmtId="0" fontId="19" fillId="4" borderId="23" xfId="0" applyFont="1" applyFill="1" applyBorder="1" applyAlignment="1" applyProtection="1">
      <alignment horizontal="center"/>
      <protection hidden="1"/>
    </xf>
    <xf numFmtId="0" fontId="19" fillId="4" borderId="24" xfId="0" applyFont="1" applyFill="1" applyBorder="1" applyAlignment="1" applyProtection="1">
      <alignment horizontal="center"/>
      <protection hidden="1"/>
    </xf>
    <xf numFmtId="0" fontId="0" fillId="4" borderId="30" xfId="0" applyFill="1" applyBorder="1" applyAlignment="1" applyProtection="1">
      <alignment horizontal="center" vertical="center"/>
      <protection hidden="1"/>
    </xf>
    <xf numFmtId="0" fontId="0" fillId="4" borderId="35" xfId="0" applyFill="1" applyBorder="1" applyAlignment="1" applyProtection="1">
      <alignment horizontal="center"/>
      <protection hidden="1"/>
    </xf>
    <xf numFmtId="0" fontId="0" fillId="4" borderId="35" xfId="0" applyFill="1" applyBorder="1" applyAlignment="1" applyProtection="1">
      <alignment horizontal="center" vertical="center"/>
      <protection hidden="1"/>
    </xf>
    <xf numFmtId="0" fontId="0" fillId="4" borderId="31" xfId="0" applyFill="1" applyBorder="1" applyAlignment="1" applyProtection="1">
      <alignment horizontal="center" vertical="center"/>
      <protection hidden="1"/>
    </xf>
    <xf numFmtId="0" fontId="0" fillId="4" borderId="32" xfId="0" applyFill="1" applyBorder="1" applyAlignment="1" applyProtection="1">
      <alignment horizontal="center" vertical="center"/>
      <protection hidden="1"/>
    </xf>
    <xf numFmtId="0" fontId="0" fillId="4" borderId="33" xfId="0" applyFill="1" applyBorder="1" applyAlignment="1" applyProtection="1">
      <alignment horizontal="center" vertical="center"/>
      <protection hidden="1"/>
    </xf>
    <xf numFmtId="0" fontId="0" fillId="4" borderId="34" xfId="0" applyFill="1" applyBorder="1" applyAlignment="1" applyProtection="1">
      <alignment horizontal="center" vertical="center"/>
      <protection hidden="1"/>
    </xf>
    <xf numFmtId="0" fontId="0" fillId="4" borderId="35" xfId="0" applyFill="1" applyBorder="1" applyAlignment="1" applyProtection="1">
      <alignment horizontal="left" vertical="center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19" fillId="4" borderId="0" xfId="0" applyFont="1" applyFill="1" applyAlignment="1" applyProtection="1">
      <alignment horizontal="center"/>
      <protection hidden="1"/>
    </xf>
    <xf numFmtId="0" fontId="19" fillId="4" borderId="9" xfId="0" applyFont="1" applyFill="1" applyBorder="1" applyAlignment="1" applyProtection="1">
      <alignment horizontal="center"/>
      <protection hidden="1"/>
    </xf>
    <xf numFmtId="164" fontId="0" fillId="4" borderId="11" xfId="0" applyNumberFormat="1" applyFill="1" applyBorder="1" applyAlignment="1" applyProtection="1">
      <alignment horizontal="center" vertical="center"/>
      <protection hidden="1"/>
    </xf>
    <xf numFmtId="164" fontId="0" fillId="4" borderId="12" xfId="0" applyNumberFormat="1" applyFill="1" applyBorder="1" applyAlignment="1" applyProtection="1">
      <alignment horizontal="center" vertical="center"/>
      <protection hidden="1"/>
    </xf>
    <xf numFmtId="164" fontId="0" fillId="4" borderId="13" xfId="0" applyNumberFormat="1" applyFill="1" applyBorder="1" applyAlignment="1" applyProtection="1">
      <alignment horizontal="center" vertical="center"/>
      <protection hidden="1"/>
    </xf>
    <xf numFmtId="164" fontId="0" fillId="4" borderId="15" xfId="0" applyNumberFormat="1" applyFill="1" applyBorder="1" applyAlignment="1" applyProtection="1">
      <alignment horizontal="center" vertical="center"/>
      <protection hidden="1"/>
    </xf>
    <xf numFmtId="164" fontId="0" fillId="4" borderId="10" xfId="0" applyNumberFormat="1" applyFill="1" applyBorder="1" applyAlignment="1" applyProtection="1">
      <alignment horizontal="center"/>
      <protection hidden="1"/>
    </xf>
    <xf numFmtId="164" fontId="0" fillId="4" borderId="14" xfId="0" applyNumberFormat="1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left" vertical="center"/>
      <protection hidden="1"/>
    </xf>
    <xf numFmtId="0" fontId="0" fillId="4" borderId="45" xfId="0" applyFill="1" applyBorder="1" applyAlignment="1" applyProtection="1">
      <alignment horizontal="center"/>
      <protection hidden="1"/>
    </xf>
    <xf numFmtId="0" fontId="0" fillId="4" borderId="45" xfId="0" applyFill="1" applyBorder="1" applyAlignment="1" applyProtection="1">
      <alignment horizontal="center" vertical="center"/>
      <protection hidden="1"/>
    </xf>
    <xf numFmtId="0" fontId="20" fillId="4" borderId="18" xfId="0" applyFont="1" applyFill="1" applyBorder="1" applyAlignment="1" applyProtection="1">
      <alignment horizontal="center" vertical="center"/>
      <protection locked="0"/>
    </xf>
    <xf numFmtId="0" fontId="29" fillId="4" borderId="26" xfId="0" applyFont="1" applyFill="1" applyBorder="1" applyAlignment="1" applyProtection="1">
      <alignment horizontal="center"/>
      <protection hidden="1"/>
    </xf>
    <xf numFmtId="0" fontId="8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24" fillId="4" borderId="44" xfId="0" applyFont="1" applyFill="1" applyBorder="1" applyAlignment="1" applyProtection="1">
      <alignment horizontal="center" vertical="center"/>
      <protection hidden="1"/>
    </xf>
    <xf numFmtId="0" fontId="24" fillId="4" borderId="12" xfId="0" applyFont="1" applyFill="1" applyBorder="1" applyAlignment="1" applyProtection="1">
      <alignment horizontal="center" vertical="center"/>
      <protection hidden="1"/>
    </xf>
    <xf numFmtId="0" fontId="19" fillId="4" borderId="20" xfId="0" applyFont="1" applyFill="1" applyBorder="1" applyAlignment="1" applyProtection="1">
      <alignment horizontal="center" textRotation="20"/>
      <protection hidden="1"/>
    </xf>
    <xf numFmtId="0" fontId="19" fillId="4" borderId="16" xfId="0" applyFont="1" applyFill="1" applyBorder="1" applyAlignment="1" applyProtection="1">
      <alignment horizontal="center" textRotation="20"/>
      <protection hidden="1"/>
    </xf>
    <xf numFmtId="0" fontId="0" fillId="4" borderId="21" xfId="0" applyFill="1" applyBorder="1" applyAlignment="1" applyProtection="1">
      <alignment horizontal="center" vertical="center"/>
      <protection hidden="1"/>
    </xf>
    <xf numFmtId="0" fontId="0" fillId="4" borderId="17" xfId="0" applyFill="1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center" vertical="center"/>
      <protection hidden="1"/>
    </xf>
    <xf numFmtId="0" fontId="0" fillId="4" borderId="39" xfId="0" applyFill="1" applyBorder="1" applyAlignment="1" applyProtection="1">
      <alignment horizontal="center" vertical="center"/>
      <protection hidden="1"/>
    </xf>
    <xf numFmtId="0" fontId="0" fillId="4" borderId="38" xfId="0" applyFill="1" applyBorder="1" applyAlignment="1" applyProtection="1">
      <alignment horizontal="center" vertical="center"/>
      <protection hidden="1"/>
    </xf>
    <xf numFmtId="0" fontId="0" fillId="4" borderId="37" xfId="0" applyFill="1" applyBorder="1" applyAlignment="1" applyProtection="1">
      <alignment horizontal="center" vertical="center"/>
      <protection hidden="1"/>
    </xf>
    <xf numFmtId="0" fontId="0" fillId="4" borderId="18" xfId="0" applyFill="1" applyBorder="1" applyAlignment="1" applyProtection="1">
      <alignment horizontal="center"/>
      <protection hidden="1"/>
    </xf>
    <xf numFmtId="0" fontId="0" fillId="4" borderId="19" xfId="0" applyFill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65"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5"/>
  <c:chart>
    <c:plotArea>
      <c:layout>
        <c:manualLayout>
          <c:layoutTarget val="inner"/>
          <c:xMode val="edge"/>
          <c:yMode val="edge"/>
          <c:x val="1.4470987891012433E-2"/>
          <c:y val="2.1204911313773257E-2"/>
          <c:w val="0.96961664250212665"/>
          <c:h val="0.95638686391011751"/>
        </c:manualLayout>
      </c:layout>
      <c:scatterChart>
        <c:scatterStyle val="smoothMarker"/>
        <c:ser>
          <c:idx val="27"/>
          <c:order val="26"/>
          <c:tx>
            <c:v>su-2-displaced</c:v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'تحلیل خرپا-2'!$J$4:$J$16</c:f>
              <c:numCache>
                <c:formatCode>General</c:formatCode>
                <c:ptCount val="13"/>
                <c:pt idx="0">
                  <c:v>15.809523809523808</c:v>
                </c:pt>
                <c:pt idx="1">
                  <c:v>15.909523809523808</c:v>
                </c:pt>
                <c:pt idx="2">
                  <c:v>16.009523809523809</c:v>
                </c:pt>
                <c:pt idx="3">
                  <c:v>16.05952380952381</c:v>
                </c:pt>
                <c:pt idx="4">
                  <c:v>16.009523809523809</c:v>
                </c:pt>
                <c:pt idx="5">
                  <c:v>15.909523809523808</c:v>
                </c:pt>
                <c:pt idx="6">
                  <c:v>15.809523809523808</c:v>
                </c:pt>
                <c:pt idx="7">
                  <c:v>15.709523809523809</c:v>
                </c:pt>
                <c:pt idx="8">
                  <c:v>15.609523809523809</c:v>
                </c:pt>
                <c:pt idx="9">
                  <c:v>15.559523809523808</c:v>
                </c:pt>
                <c:pt idx="10">
                  <c:v>15.609523809523809</c:v>
                </c:pt>
                <c:pt idx="11">
                  <c:v>15.709523809523809</c:v>
                </c:pt>
                <c:pt idx="12">
                  <c:v>15.809523809523808</c:v>
                </c:pt>
              </c:numCache>
            </c:numRef>
          </c:xVal>
          <c:yVal>
            <c:numRef>
              <c:f>'تحلیل خرپا-2'!$K$4:$K$16</c:f>
              <c:numCache>
                <c:formatCode>General</c:formatCode>
                <c:ptCount val="13"/>
                <c:pt idx="0">
                  <c:v>0</c:v>
                </c:pt>
                <c:pt idx="1">
                  <c:v>-0.1</c:v>
                </c:pt>
                <c:pt idx="2">
                  <c:v>-0.2</c:v>
                </c:pt>
                <c:pt idx="3">
                  <c:v>-0.25</c:v>
                </c:pt>
                <c:pt idx="4">
                  <c:v>-0.3</c:v>
                </c:pt>
                <c:pt idx="5">
                  <c:v>-0.4</c:v>
                </c:pt>
                <c:pt idx="6">
                  <c:v>-0.5</c:v>
                </c:pt>
                <c:pt idx="7">
                  <c:v>-0.4</c:v>
                </c:pt>
                <c:pt idx="8">
                  <c:v>-0.3</c:v>
                </c:pt>
                <c:pt idx="9">
                  <c:v>-0.25</c:v>
                </c:pt>
                <c:pt idx="10">
                  <c:v>-0.2</c:v>
                </c:pt>
                <c:pt idx="11">
                  <c:v>-0.1</c:v>
                </c:pt>
                <c:pt idx="12">
                  <c:v>0</c:v>
                </c:pt>
              </c:numCache>
            </c:numRef>
          </c:yVal>
          <c:smooth val="1"/>
        </c:ser>
        <c:ser>
          <c:idx val="28"/>
          <c:order val="27"/>
          <c:tx>
            <c:v>su-2-line-displaced</c:v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'تحلیل خرپا-2'!$J$17:$J$19</c:f>
              <c:numCache>
                <c:formatCode>General</c:formatCode>
                <c:ptCount val="3"/>
                <c:pt idx="0">
                  <c:v>15.309523809523808</c:v>
                </c:pt>
                <c:pt idx="1">
                  <c:v>15.809523809523808</c:v>
                </c:pt>
                <c:pt idx="2">
                  <c:v>16.30952380952381</c:v>
                </c:pt>
              </c:numCache>
            </c:numRef>
          </c:xVal>
          <c:yVal>
            <c:numRef>
              <c:f>'تحلیل خرپا-2'!$K$17:$K$19</c:f>
              <c:numCache>
                <c:formatCode>General</c:formatCode>
                <c:ptCount val="3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</c:numCache>
            </c:numRef>
          </c:yVal>
          <c:smooth val="1"/>
        </c:ser>
        <c:ser>
          <c:idx val="29"/>
          <c:order val="28"/>
          <c:tx>
            <c:v>su-2-not displaced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'تحلیل خرپا-2'!$L$4:$L$16</c:f>
              <c:numCache>
                <c:formatCode>General</c:formatCode>
                <c:ptCount val="13"/>
                <c:pt idx="0">
                  <c:v>16</c:v>
                </c:pt>
                <c:pt idx="1">
                  <c:v>16.100000000000001</c:v>
                </c:pt>
                <c:pt idx="2">
                  <c:v>16.2</c:v>
                </c:pt>
                <c:pt idx="3">
                  <c:v>16.25</c:v>
                </c:pt>
                <c:pt idx="4">
                  <c:v>16.2</c:v>
                </c:pt>
                <c:pt idx="5">
                  <c:v>16.100000000000001</c:v>
                </c:pt>
                <c:pt idx="6">
                  <c:v>16</c:v>
                </c:pt>
                <c:pt idx="7">
                  <c:v>15.9</c:v>
                </c:pt>
                <c:pt idx="8">
                  <c:v>15.8</c:v>
                </c:pt>
                <c:pt idx="9">
                  <c:v>15.75</c:v>
                </c:pt>
                <c:pt idx="10">
                  <c:v>15.8</c:v>
                </c:pt>
                <c:pt idx="11">
                  <c:v>15.9</c:v>
                </c:pt>
                <c:pt idx="12">
                  <c:v>16</c:v>
                </c:pt>
              </c:numCache>
            </c:numRef>
          </c:xVal>
          <c:yVal>
            <c:numRef>
              <c:f>'تحلیل خرپا-2'!$M$4:$M$16</c:f>
              <c:numCache>
                <c:formatCode>General</c:formatCode>
                <c:ptCount val="13"/>
                <c:pt idx="0">
                  <c:v>0</c:v>
                </c:pt>
                <c:pt idx="1">
                  <c:v>-0.1</c:v>
                </c:pt>
                <c:pt idx="2">
                  <c:v>-0.2</c:v>
                </c:pt>
                <c:pt idx="3">
                  <c:v>-0.25</c:v>
                </c:pt>
                <c:pt idx="4">
                  <c:v>-0.3</c:v>
                </c:pt>
                <c:pt idx="5">
                  <c:v>-0.4</c:v>
                </c:pt>
                <c:pt idx="6">
                  <c:v>-0.5</c:v>
                </c:pt>
                <c:pt idx="7">
                  <c:v>-0.4</c:v>
                </c:pt>
                <c:pt idx="8">
                  <c:v>-0.3</c:v>
                </c:pt>
                <c:pt idx="9">
                  <c:v>-0.25</c:v>
                </c:pt>
                <c:pt idx="10">
                  <c:v>-0.2</c:v>
                </c:pt>
                <c:pt idx="11">
                  <c:v>-0.1</c:v>
                </c:pt>
                <c:pt idx="12">
                  <c:v>0</c:v>
                </c:pt>
              </c:numCache>
            </c:numRef>
          </c:yVal>
          <c:smooth val="1"/>
        </c:ser>
        <c:ser>
          <c:idx val="30"/>
          <c:order val="29"/>
          <c:tx>
            <c:v>su-2-line-not displaced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'تحلیل خرپا-2'!$L$17:$L$19</c:f>
              <c:numCache>
                <c:formatCode>General</c:formatCode>
                <c:ptCount val="3"/>
                <c:pt idx="0">
                  <c:v>15.5</c:v>
                </c:pt>
                <c:pt idx="1">
                  <c:v>16</c:v>
                </c:pt>
                <c:pt idx="2">
                  <c:v>16.5</c:v>
                </c:pt>
              </c:numCache>
            </c:numRef>
          </c:xVal>
          <c:yVal>
            <c:numRef>
              <c:f>'تحلیل خرپا-2'!$M$17:$M$19</c:f>
              <c:numCache>
                <c:formatCode>General</c:formatCode>
                <c:ptCount val="3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</c:numCache>
            </c:numRef>
          </c:yVal>
          <c:smooth val="1"/>
        </c:ser>
        <c:axId val="59595392"/>
        <c:axId val="59605376"/>
      </c:scatterChart>
      <c:scatterChart>
        <c:scatterStyle val="lineMarker"/>
        <c:ser>
          <c:idx val="0"/>
          <c:order val="0"/>
          <c:tx>
            <c:v>1</c:v>
          </c:tx>
          <c:spPr>
            <a:ln w="38100"/>
          </c:spPr>
          <c:marker>
            <c:symbol val="circle"/>
            <c:size val="2"/>
            <c:spPr>
              <a:ln w="38100"/>
            </c:spPr>
          </c:marker>
          <c:xVal>
            <c:numRef>
              <c:f>'تحلیل خرپا-2'!$B$2:$B$3</c:f>
              <c:numCache>
                <c:formatCode>General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xVal>
          <c:yVal>
            <c:numRef>
              <c:f>'تحلیل خرپا-2'!$C$2:$C$3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</c:ser>
        <c:ser>
          <c:idx val="1"/>
          <c:order val="1"/>
          <c:tx>
            <c:v>2</c:v>
          </c:tx>
          <c:spPr>
            <a:ln w="38100"/>
          </c:spPr>
          <c:marker>
            <c:symbol val="circle"/>
            <c:size val="5"/>
            <c:spPr>
              <a:ln w="38100"/>
            </c:spPr>
          </c:marker>
          <c:xVal>
            <c:numRef>
              <c:f>'تحلیل خرپا-2'!$B$4:$B$5</c:f>
              <c:numCache>
                <c:formatCode>General</c:formatCode>
                <c:ptCount val="2"/>
                <c:pt idx="0">
                  <c:v>4</c:v>
                </c:pt>
                <c:pt idx="1">
                  <c:v>8</c:v>
                </c:pt>
              </c:numCache>
            </c:numRef>
          </c:xVal>
          <c:yVal>
            <c:numRef>
              <c:f>'تحلیل خرپا-2'!$C$4:$C$5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</c:ser>
        <c:ser>
          <c:idx val="2"/>
          <c:order val="2"/>
          <c:tx>
            <c:v>3</c:v>
          </c:tx>
          <c:spPr>
            <a:ln w="38100"/>
          </c:spPr>
          <c:marker>
            <c:symbol val="circle"/>
            <c:size val="5"/>
            <c:spPr>
              <a:ln w="38100"/>
            </c:spPr>
          </c:marker>
          <c:xVal>
            <c:numRef>
              <c:f>'تحلیل خرپا-2'!$B$6:$B$7</c:f>
              <c:numCache>
                <c:formatCode>General</c:formatCode>
                <c:ptCount val="2"/>
                <c:pt idx="0">
                  <c:v>8</c:v>
                </c:pt>
                <c:pt idx="1">
                  <c:v>12</c:v>
                </c:pt>
              </c:numCache>
            </c:numRef>
          </c:xVal>
          <c:yVal>
            <c:numRef>
              <c:f>'تحلیل خرپا-2'!$C$6:$C$7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</c:ser>
        <c:ser>
          <c:idx val="3"/>
          <c:order val="3"/>
          <c:tx>
            <c:v>4</c:v>
          </c:tx>
          <c:spPr>
            <a:ln w="38100"/>
          </c:spPr>
          <c:marker>
            <c:symbol val="x"/>
            <c:size val="2"/>
            <c:spPr>
              <a:ln w="38100"/>
            </c:spPr>
          </c:marker>
          <c:xVal>
            <c:numRef>
              <c:f>'تحلیل خرپا-2'!$B$8:$B$9</c:f>
              <c:numCache>
                <c:formatCode>General</c:formatCode>
                <c:ptCount val="2"/>
                <c:pt idx="0">
                  <c:v>12</c:v>
                </c:pt>
                <c:pt idx="1">
                  <c:v>16</c:v>
                </c:pt>
              </c:numCache>
            </c:numRef>
          </c:xVal>
          <c:yVal>
            <c:numRef>
              <c:f>'تحلیل خرپا-2'!$C$8:$C$9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</c:ser>
        <c:ser>
          <c:idx val="4"/>
          <c:order val="4"/>
          <c:tx>
            <c:v>5</c:v>
          </c:tx>
          <c:spPr>
            <a:ln w="38100"/>
          </c:spPr>
          <c:marker>
            <c:symbol val="circle"/>
            <c:size val="5"/>
            <c:spPr>
              <a:ln w="38100"/>
            </c:spPr>
          </c:marker>
          <c:xVal>
            <c:numRef>
              <c:f>'تحلیل خرپا-2'!$D$2:$D$3</c:f>
              <c:numCache>
                <c:formatCode>General</c:formatCode>
                <c:ptCount val="2"/>
                <c:pt idx="0">
                  <c:v>4</c:v>
                </c:pt>
                <c:pt idx="1">
                  <c:v>8</c:v>
                </c:pt>
              </c:numCache>
            </c:numRef>
          </c:xVal>
          <c:yVal>
            <c:numRef>
              <c:f>'تحلیل خرپا-2'!$E$2:$E$3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</c:ser>
        <c:ser>
          <c:idx val="5"/>
          <c:order val="5"/>
          <c:tx>
            <c:v>6</c:v>
          </c:tx>
          <c:spPr>
            <a:ln w="38100"/>
          </c:spPr>
          <c:marker>
            <c:symbol val="circle"/>
            <c:size val="5"/>
            <c:spPr>
              <a:ln w="38100"/>
            </c:spPr>
          </c:marker>
          <c:xVal>
            <c:numRef>
              <c:f>'تحلیل خرپا-2'!$D$4:$D$5</c:f>
              <c:numCache>
                <c:formatCode>General</c:formatCode>
                <c:ptCount val="2"/>
                <c:pt idx="0">
                  <c:v>8</c:v>
                </c:pt>
                <c:pt idx="1">
                  <c:v>12</c:v>
                </c:pt>
              </c:numCache>
            </c:numRef>
          </c:xVal>
          <c:yVal>
            <c:numRef>
              <c:f>'تحلیل خرپا-2'!$E$4:$E$5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</c:ser>
        <c:ser>
          <c:idx val="6"/>
          <c:order val="6"/>
          <c:tx>
            <c:v>7</c:v>
          </c:tx>
          <c:spPr>
            <a:ln w="38100"/>
          </c:spPr>
          <c:marker>
            <c:symbol val="circle"/>
            <c:size val="5"/>
            <c:spPr>
              <a:ln w="38100"/>
            </c:spPr>
          </c:marker>
          <c:xVal>
            <c:numRef>
              <c:f>'تحلیل خرپا-2'!$D$6:$D$7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xVal>
          <c:yVal>
            <c:numRef>
              <c:f>'تحلیل خرپا-2'!$E$6:$E$7</c:f>
              <c:numCache>
                <c:formatCode>General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yVal>
        </c:ser>
        <c:ser>
          <c:idx val="7"/>
          <c:order val="7"/>
          <c:tx>
            <c:v>8</c:v>
          </c:tx>
          <c:spPr>
            <a:ln w="38100"/>
          </c:spPr>
          <c:marker>
            <c:symbol val="circle"/>
            <c:size val="5"/>
            <c:spPr>
              <a:ln w="38100"/>
            </c:spPr>
          </c:marker>
          <c:xVal>
            <c:numRef>
              <c:f>'تحلیل خرپا-2'!$D$8:$D$9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'تحلیل خرپا-2'!$E$8:$E$9</c:f>
              <c:numCache>
                <c:formatCode>General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yVal>
        </c:ser>
        <c:ser>
          <c:idx val="8"/>
          <c:order val="8"/>
          <c:tx>
            <c:v>9</c:v>
          </c:tx>
          <c:spPr>
            <a:ln w="38100"/>
          </c:spPr>
          <c:marker>
            <c:symbol val="circle"/>
            <c:size val="5"/>
            <c:spPr>
              <a:ln w="38100"/>
            </c:spPr>
          </c:marker>
          <c:xVal>
            <c:numRef>
              <c:f>'تحلیل خرپا-2'!$F$2:$F$3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xVal>
          <c:yVal>
            <c:numRef>
              <c:f>'تحلیل خرپا-2'!$G$2:$G$3</c:f>
              <c:numCache>
                <c:formatCode>General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yVal>
        </c:ser>
        <c:ser>
          <c:idx val="9"/>
          <c:order val="9"/>
          <c:tx>
            <c:v>10</c:v>
          </c:tx>
          <c:spPr>
            <a:ln w="38100"/>
          </c:spPr>
          <c:marker>
            <c:symbol val="circle"/>
            <c:size val="2"/>
            <c:spPr>
              <a:ln w="38100"/>
            </c:spPr>
          </c:marker>
          <c:xVal>
            <c:numRef>
              <c:f>'تحلیل خرپا-2'!$F$4:$F$5</c:f>
              <c:numCache>
                <c:formatCode>General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xVal>
          <c:yVal>
            <c:numRef>
              <c:f>'تحلیل خرپا-2'!$G$4:$G$5</c:f>
              <c:numCache>
                <c:formatCode>General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yVal>
        </c:ser>
        <c:ser>
          <c:idx val="10"/>
          <c:order val="10"/>
          <c:tx>
            <c:v>11</c:v>
          </c:tx>
          <c:spPr>
            <a:ln w="38100"/>
          </c:spPr>
          <c:marker>
            <c:symbol val="circle"/>
            <c:size val="5"/>
            <c:spPr>
              <a:ln w="38100"/>
            </c:spPr>
          </c:marker>
          <c:xVal>
            <c:numRef>
              <c:f>'تحلیل خرپا-2'!$F$6:$F$7</c:f>
              <c:numCache>
                <c:formatCode>General</c:formatCode>
                <c:ptCount val="2"/>
                <c:pt idx="0">
                  <c:v>4</c:v>
                </c:pt>
                <c:pt idx="1">
                  <c:v>8</c:v>
                </c:pt>
              </c:numCache>
            </c:numRef>
          </c:xVal>
          <c:yVal>
            <c:numRef>
              <c:f>'تحلیل خرپا-2'!$G$6:$G$7</c:f>
              <c:numCache>
                <c:formatCode>General</c:formatCode>
                <c:ptCount val="2"/>
                <c:pt idx="0">
                  <c:v>4</c:v>
                </c:pt>
                <c:pt idx="1">
                  <c:v>0</c:v>
                </c:pt>
              </c:numCache>
            </c:numRef>
          </c:yVal>
        </c:ser>
        <c:ser>
          <c:idx val="11"/>
          <c:order val="11"/>
          <c:tx>
            <c:v>12</c:v>
          </c:tx>
          <c:spPr>
            <a:ln w="38100"/>
          </c:spPr>
          <c:marker>
            <c:symbol val="circle"/>
            <c:size val="5"/>
            <c:spPr>
              <a:ln w="38100"/>
            </c:spPr>
          </c:marker>
          <c:xVal>
            <c:numRef>
              <c:f>'تحلیل خرپا-2'!$F$8:$F$9</c:f>
              <c:numCache>
                <c:formatCode>General</c:formatCode>
                <c:ptCount val="2"/>
                <c:pt idx="0">
                  <c:v>8</c:v>
                </c:pt>
                <c:pt idx="1">
                  <c:v>12</c:v>
                </c:pt>
              </c:numCache>
            </c:numRef>
          </c:xVal>
          <c:yVal>
            <c:numRef>
              <c:f>'تحلیل خرپا-2'!$G$8:$G$9</c:f>
              <c:numCache>
                <c:formatCode>General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yVal>
        </c:ser>
        <c:ser>
          <c:idx val="12"/>
          <c:order val="12"/>
          <c:tx>
            <c:v>13</c:v>
          </c:tx>
          <c:spPr>
            <a:ln w="38100"/>
          </c:spPr>
          <c:marker>
            <c:symbol val="circle"/>
            <c:size val="2"/>
            <c:spPr>
              <a:ln w="38100"/>
            </c:spPr>
          </c:marker>
          <c:xVal>
            <c:numRef>
              <c:f>'تحلیل خرپا-2'!$H$2:$H$3</c:f>
              <c:numCache>
                <c:formatCode>General</c:formatCode>
                <c:ptCount val="2"/>
                <c:pt idx="0">
                  <c:v>12</c:v>
                </c:pt>
                <c:pt idx="1">
                  <c:v>16</c:v>
                </c:pt>
              </c:numCache>
            </c:numRef>
          </c:xVal>
          <c:yVal>
            <c:numRef>
              <c:f>'تحلیل خرپا-2'!$I$2:$I$3</c:f>
              <c:numCache>
                <c:formatCode>General</c:formatCode>
                <c:ptCount val="2"/>
                <c:pt idx="0">
                  <c:v>4</c:v>
                </c:pt>
                <c:pt idx="1">
                  <c:v>0</c:v>
                </c:pt>
              </c:numCache>
            </c:numRef>
          </c:yVal>
        </c:ser>
        <c:ser>
          <c:idx val="13"/>
          <c:order val="13"/>
          <c:tx>
            <c:v>d1</c:v>
          </c:tx>
          <c:xVal>
            <c:numRef>
              <c:f>'تحلیل خرپا-2'!$B$10:$B$11</c:f>
              <c:numCache>
                <c:formatCode>General</c:formatCode>
                <c:ptCount val="2"/>
                <c:pt idx="0">
                  <c:v>0</c:v>
                </c:pt>
                <c:pt idx="1">
                  <c:v>3.9523809523809521</c:v>
                </c:pt>
              </c:numCache>
            </c:numRef>
          </c:xVal>
          <c:yVal>
            <c:numRef>
              <c:f>'تحلیل خرپا-2'!$C$10:$C$11</c:f>
              <c:numCache>
                <c:formatCode>General</c:formatCode>
                <c:ptCount val="2"/>
                <c:pt idx="0">
                  <c:v>0</c:v>
                </c:pt>
                <c:pt idx="1">
                  <c:v>0.32516319641648639</c:v>
                </c:pt>
              </c:numCache>
            </c:numRef>
          </c:yVal>
        </c:ser>
        <c:ser>
          <c:idx val="14"/>
          <c:order val="14"/>
          <c:tx>
            <c:v>d2</c:v>
          </c:tx>
          <c:xVal>
            <c:numRef>
              <c:f>'تحلیل خرپا-2'!$B$12:$B$13</c:f>
              <c:numCache>
                <c:formatCode>General</c:formatCode>
                <c:ptCount val="2"/>
                <c:pt idx="0">
                  <c:v>3.9523809523809521</c:v>
                </c:pt>
                <c:pt idx="1">
                  <c:v>7.9047619047619042</c:v>
                </c:pt>
              </c:numCache>
            </c:numRef>
          </c:xVal>
          <c:yVal>
            <c:numRef>
              <c:f>'تحلیل خرپا-2'!$C$12:$C$13</c:f>
              <c:numCache>
                <c:formatCode>General</c:formatCode>
                <c:ptCount val="2"/>
                <c:pt idx="0">
                  <c:v>0.32516319641648639</c:v>
                </c:pt>
                <c:pt idx="1">
                  <c:v>0.55508829759487677</c:v>
                </c:pt>
              </c:numCache>
            </c:numRef>
          </c:yVal>
        </c:ser>
        <c:ser>
          <c:idx val="15"/>
          <c:order val="15"/>
          <c:tx>
            <c:v>d3</c:v>
          </c:tx>
          <c:xVal>
            <c:numRef>
              <c:f>'تحلیل خرپا-2'!$B$14:$B$15</c:f>
              <c:numCache>
                <c:formatCode>General</c:formatCode>
                <c:ptCount val="2"/>
                <c:pt idx="0">
                  <c:v>7.9047619047619042</c:v>
                </c:pt>
                <c:pt idx="1">
                  <c:v>11.857142857142856</c:v>
                </c:pt>
              </c:numCache>
            </c:numRef>
          </c:xVal>
          <c:yVal>
            <c:numRef>
              <c:f>'تحلیل خرپا-2'!$C$14:$C$15</c:f>
              <c:numCache>
                <c:formatCode>General</c:formatCode>
                <c:ptCount val="2"/>
                <c:pt idx="0">
                  <c:v>0.55508829759487677</c:v>
                </c:pt>
                <c:pt idx="1">
                  <c:v>0.32516319641648633</c:v>
                </c:pt>
              </c:numCache>
            </c:numRef>
          </c:yVal>
        </c:ser>
        <c:ser>
          <c:idx val="16"/>
          <c:order val="16"/>
          <c:tx>
            <c:v>d4</c:v>
          </c:tx>
          <c:xVal>
            <c:numRef>
              <c:f>'تحلیل خرپا-2'!$B$16:$B$17</c:f>
              <c:numCache>
                <c:formatCode>General</c:formatCode>
                <c:ptCount val="2"/>
                <c:pt idx="0">
                  <c:v>11.857142857142856</c:v>
                </c:pt>
                <c:pt idx="1">
                  <c:v>15.809523809523808</c:v>
                </c:pt>
              </c:numCache>
            </c:numRef>
          </c:xVal>
          <c:yVal>
            <c:numRef>
              <c:f>'تحلیل خرپا-2'!$C$16:$C$17</c:f>
              <c:numCache>
                <c:formatCode>General</c:formatCode>
                <c:ptCount val="2"/>
                <c:pt idx="0">
                  <c:v>0.32516319641648633</c:v>
                </c:pt>
                <c:pt idx="1">
                  <c:v>0</c:v>
                </c:pt>
              </c:numCache>
            </c:numRef>
          </c:yVal>
        </c:ser>
        <c:ser>
          <c:idx val="17"/>
          <c:order val="17"/>
          <c:tx>
            <c:v>d5</c:v>
          </c:tx>
          <c:xVal>
            <c:numRef>
              <c:f>'تحلیل خرپا-2'!$D$10:$D$11</c:f>
              <c:numCache>
                <c:formatCode>General</c:formatCode>
                <c:ptCount val="2"/>
                <c:pt idx="0">
                  <c:v>3.8095238095238089</c:v>
                </c:pt>
                <c:pt idx="1">
                  <c:v>7.9047619047619042</c:v>
                </c:pt>
              </c:numCache>
            </c:numRef>
          </c:xVal>
          <c:yVal>
            <c:numRef>
              <c:f>'تحلیل خرپا-2'!$E$10:$E$11</c:f>
              <c:numCache>
                <c:formatCode>General</c:formatCode>
                <c:ptCount val="2"/>
                <c:pt idx="0">
                  <c:v>4.3251631964164865</c:v>
                </c:pt>
                <c:pt idx="1">
                  <c:v>4.5550882975948763</c:v>
                </c:pt>
              </c:numCache>
            </c:numRef>
          </c:yVal>
        </c:ser>
        <c:ser>
          <c:idx val="18"/>
          <c:order val="18"/>
          <c:tx>
            <c:v>d6</c:v>
          </c:tx>
          <c:xVal>
            <c:numRef>
              <c:f>'تحلیل خرپا-2'!$D$12:$D$13</c:f>
              <c:numCache>
                <c:formatCode>General</c:formatCode>
                <c:ptCount val="2"/>
                <c:pt idx="0">
                  <c:v>7.9047619047619042</c:v>
                </c:pt>
                <c:pt idx="1">
                  <c:v>12</c:v>
                </c:pt>
              </c:numCache>
            </c:numRef>
          </c:xVal>
          <c:yVal>
            <c:numRef>
              <c:f>'تحلیل خرپا-2'!$E$12:$E$13</c:f>
              <c:numCache>
                <c:formatCode>General</c:formatCode>
                <c:ptCount val="2"/>
                <c:pt idx="0">
                  <c:v>4.5550882975948763</c:v>
                </c:pt>
                <c:pt idx="1">
                  <c:v>4.3251631964164865</c:v>
                </c:pt>
              </c:numCache>
            </c:numRef>
          </c:yVal>
        </c:ser>
        <c:ser>
          <c:idx val="19"/>
          <c:order val="19"/>
          <c:tx>
            <c:v>d7</c:v>
          </c:tx>
          <c:xVal>
            <c:numRef>
              <c:f>'تحلیل خرپا-2'!$D$14:$D$15</c:f>
              <c:numCache>
                <c:formatCode>General</c:formatCode>
                <c:ptCount val="2"/>
                <c:pt idx="0">
                  <c:v>3.9523809523809521</c:v>
                </c:pt>
                <c:pt idx="1">
                  <c:v>3.8095238095238089</c:v>
                </c:pt>
              </c:numCache>
            </c:numRef>
          </c:xVal>
          <c:yVal>
            <c:numRef>
              <c:f>'تحلیل خرپا-2'!$E$14:$E$15</c:f>
              <c:numCache>
                <c:formatCode>General</c:formatCode>
                <c:ptCount val="2"/>
                <c:pt idx="0">
                  <c:v>0.32516319641648639</c:v>
                </c:pt>
                <c:pt idx="1">
                  <c:v>4.3251631964164865</c:v>
                </c:pt>
              </c:numCache>
            </c:numRef>
          </c:yVal>
        </c:ser>
        <c:ser>
          <c:idx val="20"/>
          <c:order val="20"/>
          <c:tx>
            <c:v>d8</c:v>
          </c:tx>
          <c:xVal>
            <c:numRef>
              <c:f>'تحلیل خرپا-2'!$D$16:$D$17</c:f>
              <c:numCache>
                <c:formatCode>General</c:formatCode>
                <c:ptCount val="2"/>
                <c:pt idx="0">
                  <c:v>7.9047619047619042</c:v>
                </c:pt>
                <c:pt idx="1">
                  <c:v>7.9047619047619042</c:v>
                </c:pt>
              </c:numCache>
            </c:numRef>
          </c:xVal>
          <c:yVal>
            <c:numRef>
              <c:f>'تحلیل خرپا-2'!$E$16:$E$17</c:f>
              <c:numCache>
                <c:formatCode>General</c:formatCode>
                <c:ptCount val="2"/>
                <c:pt idx="0">
                  <c:v>0.55508829759487677</c:v>
                </c:pt>
                <c:pt idx="1">
                  <c:v>4.5550882975948763</c:v>
                </c:pt>
              </c:numCache>
            </c:numRef>
          </c:yVal>
        </c:ser>
        <c:ser>
          <c:idx val="21"/>
          <c:order val="21"/>
          <c:tx>
            <c:v>d9</c:v>
          </c:tx>
          <c:xVal>
            <c:numRef>
              <c:f>'تحلیل خرپا-2'!$F$10:$F$11</c:f>
              <c:numCache>
                <c:formatCode>General</c:formatCode>
                <c:ptCount val="2"/>
                <c:pt idx="0">
                  <c:v>11.857142857142856</c:v>
                </c:pt>
                <c:pt idx="1">
                  <c:v>12</c:v>
                </c:pt>
              </c:numCache>
            </c:numRef>
          </c:xVal>
          <c:yVal>
            <c:numRef>
              <c:f>'تحلیل خرپا-2'!$G$10:$G$11</c:f>
              <c:numCache>
                <c:formatCode>General</c:formatCode>
                <c:ptCount val="2"/>
                <c:pt idx="0">
                  <c:v>0.32516319641648633</c:v>
                </c:pt>
                <c:pt idx="1">
                  <c:v>4.3251631964164865</c:v>
                </c:pt>
              </c:numCache>
            </c:numRef>
          </c:yVal>
        </c:ser>
        <c:ser>
          <c:idx val="22"/>
          <c:order val="22"/>
          <c:tx>
            <c:v>d10</c:v>
          </c:tx>
          <c:xVal>
            <c:numRef>
              <c:f>'تحلیل خرپا-2'!$F$12:$F$13</c:f>
              <c:numCache>
                <c:formatCode>General</c:formatCode>
                <c:ptCount val="2"/>
                <c:pt idx="0">
                  <c:v>0</c:v>
                </c:pt>
                <c:pt idx="1">
                  <c:v>3.8095238095238089</c:v>
                </c:pt>
              </c:numCache>
            </c:numRef>
          </c:xVal>
          <c:yVal>
            <c:numRef>
              <c:f>'تحلیل خرپا-2'!$G$12:$G$13</c:f>
              <c:numCache>
                <c:formatCode>General</c:formatCode>
                <c:ptCount val="2"/>
                <c:pt idx="0">
                  <c:v>0</c:v>
                </c:pt>
                <c:pt idx="1">
                  <c:v>4.3251631964164865</c:v>
                </c:pt>
              </c:numCache>
            </c:numRef>
          </c:yVal>
        </c:ser>
        <c:ser>
          <c:idx val="23"/>
          <c:order val="23"/>
          <c:tx>
            <c:v>d11</c:v>
          </c:tx>
          <c:xVal>
            <c:numRef>
              <c:f>'تحلیل خرپا-2'!$F$14:$F$15</c:f>
              <c:numCache>
                <c:formatCode>General</c:formatCode>
                <c:ptCount val="2"/>
                <c:pt idx="0">
                  <c:v>3.8095238095238089</c:v>
                </c:pt>
                <c:pt idx="1">
                  <c:v>7.9047619047619042</c:v>
                </c:pt>
              </c:numCache>
            </c:numRef>
          </c:xVal>
          <c:yVal>
            <c:numRef>
              <c:f>'تحلیل خرپا-2'!$G$14:$G$15</c:f>
              <c:numCache>
                <c:formatCode>General</c:formatCode>
                <c:ptCount val="2"/>
                <c:pt idx="0">
                  <c:v>4.3251631964164865</c:v>
                </c:pt>
                <c:pt idx="1">
                  <c:v>0.55508829759487677</c:v>
                </c:pt>
              </c:numCache>
            </c:numRef>
          </c:yVal>
        </c:ser>
        <c:ser>
          <c:idx val="24"/>
          <c:order val="24"/>
          <c:tx>
            <c:v>d12</c:v>
          </c:tx>
          <c:xVal>
            <c:numRef>
              <c:f>'تحلیل خرپا-2'!$F$16:$F$17</c:f>
              <c:numCache>
                <c:formatCode>General</c:formatCode>
                <c:ptCount val="2"/>
                <c:pt idx="0">
                  <c:v>7.9047619047619042</c:v>
                </c:pt>
                <c:pt idx="1">
                  <c:v>12</c:v>
                </c:pt>
              </c:numCache>
            </c:numRef>
          </c:xVal>
          <c:yVal>
            <c:numRef>
              <c:f>'تحلیل خرپا-2'!$G$16:$G$17</c:f>
              <c:numCache>
                <c:formatCode>General</c:formatCode>
                <c:ptCount val="2"/>
                <c:pt idx="0">
                  <c:v>0.55508829759487677</c:v>
                </c:pt>
                <c:pt idx="1">
                  <c:v>4.3251631964164865</c:v>
                </c:pt>
              </c:numCache>
            </c:numRef>
          </c:yVal>
        </c:ser>
        <c:ser>
          <c:idx val="25"/>
          <c:order val="25"/>
          <c:tx>
            <c:v>d13</c:v>
          </c:tx>
          <c:xVal>
            <c:numRef>
              <c:f>'تحلیل خرپا-2'!$H$10:$H$11</c:f>
              <c:numCache>
                <c:formatCode>General</c:formatCode>
                <c:ptCount val="2"/>
                <c:pt idx="0">
                  <c:v>12</c:v>
                </c:pt>
                <c:pt idx="1">
                  <c:v>15.809523809523808</c:v>
                </c:pt>
              </c:numCache>
            </c:numRef>
          </c:xVal>
          <c:yVal>
            <c:numRef>
              <c:f>'تحلیل خرپا-2'!$I$10:$I$11</c:f>
              <c:numCache>
                <c:formatCode>General</c:formatCode>
                <c:ptCount val="2"/>
                <c:pt idx="0">
                  <c:v>4.3251631964164865</c:v>
                </c:pt>
                <c:pt idx="1">
                  <c:v>0</c:v>
                </c:pt>
              </c:numCache>
            </c:numRef>
          </c:yVal>
        </c:ser>
        <c:ser>
          <c:idx val="26"/>
          <c:order val="30"/>
          <c:tx>
            <c:v>su-1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'تحلیل خرپا-2'!$H$13:$H$16</c:f>
              <c:numCache>
                <c:formatCode>General</c:formatCode>
                <c:ptCount val="4"/>
                <c:pt idx="0">
                  <c:v>-0.5</c:v>
                </c:pt>
                <c:pt idx="1">
                  <c:v>0</c:v>
                </c:pt>
                <c:pt idx="2">
                  <c:v>0.5</c:v>
                </c:pt>
                <c:pt idx="3">
                  <c:v>-0.5</c:v>
                </c:pt>
              </c:numCache>
            </c:numRef>
          </c:xVal>
          <c:yVal>
            <c:numRef>
              <c:f>'تحلیل خرپا-2'!$I$13:$I$16</c:f>
              <c:numCache>
                <c:formatCode>General</c:formatCode>
                <c:ptCount val="4"/>
                <c:pt idx="0">
                  <c:v>-0.5</c:v>
                </c:pt>
                <c:pt idx="1">
                  <c:v>0</c:v>
                </c:pt>
                <c:pt idx="2">
                  <c:v>-0.5</c:v>
                </c:pt>
                <c:pt idx="3">
                  <c:v>-0.5</c:v>
                </c:pt>
              </c:numCache>
            </c:numRef>
          </c:yVal>
        </c:ser>
        <c:axId val="59595392"/>
        <c:axId val="59605376"/>
      </c:scatterChart>
      <c:valAx>
        <c:axId val="59595392"/>
        <c:scaling>
          <c:orientation val="minMax"/>
        </c:scaling>
        <c:axPos val="b"/>
        <c:numFmt formatCode="General" sourceLinked="1"/>
        <c:majorTickMark val="none"/>
        <c:tickLblPos val="nextTo"/>
        <c:crossAx val="59605376"/>
        <c:crosses val="autoZero"/>
        <c:crossBetween val="midCat"/>
      </c:valAx>
      <c:valAx>
        <c:axId val="59605376"/>
        <c:scaling>
          <c:orientation val="minMax"/>
        </c:scaling>
        <c:axPos val="l"/>
        <c:numFmt formatCode="General" sourceLinked="1"/>
        <c:majorTickMark val="none"/>
        <c:tickLblPos val="nextTo"/>
        <c:crossAx val="59595392"/>
        <c:crosses val="autoZero"/>
        <c:crossBetween val="midCat"/>
      </c:valAx>
      <c:spPr>
        <a:solidFill>
          <a:schemeClr val="accent1">
            <a:lumMod val="20000"/>
            <a:lumOff val="80000"/>
          </a:schemeClr>
        </a:solidFill>
      </c:spPr>
    </c:plotArea>
    <c:plotVisOnly val="1"/>
    <c:dispBlanksAs val="gap"/>
  </c:chart>
  <c:spPr>
    <a:solidFill>
      <a:schemeClr val="accent1">
        <a:lumMod val="20000"/>
        <a:lumOff val="80000"/>
      </a:schemeClr>
    </a:solidFill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0</xdr:rowOff>
    </xdr:from>
    <xdr:to>
      <xdr:col>7</xdr:col>
      <xdr:colOff>0</xdr:colOff>
      <xdr:row>22</xdr:row>
      <xdr:rowOff>0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3933825" y="3076575"/>
          <a:ext cx="600075" cy="685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8</xdr:col>
      <xdr:colOff>0</xdr:colOff>
      <xdr:row>19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034" name="Rectangle 10"/>
        <xdr:cNvSpPr>
          <a:spLocks noChangeArrowheads="1"/>
        </xdr:cNvSpPr>
      </xdr:nvSpPr>
      <xdr:spPr bwMode="auto">
        <a:xfrm>
          <a:off x="5314950" y="3076575"/>
          <a:ext cx="1971675" cy="685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1035" name="Rectangle 11"/>
        <xdr:cNvSpPr>
          <a:spLocks noChangeArrowheads="1"/>
        </xdr:cNvSpPr>
      </xdr:nvSpPr>
      <xdr:spPr bwMode="auto">
        <a:xfrm>
          <a:off x="8105775" y="3076575"/>
          <a:ext cx="809625" cy="685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0</xdr:colOff>
      <xdr:row>25</xdr:row>
      <xdr:rowOff>0</xdr:rowOff>
    </xdr:from>
    <xdr:to>
      <xdr:col>7</xdr:col>
      <xdr:colOff>0</xdr:colOff>
      <xdr:row>26</xdr:row>
      <xdr:rowOff>0</xdr:rowOff>
    </xdr:to>
    <xdr:sp macro="" textlink="">
      <xdr:nvSpPr>
        <xdr:cNvPr id="1038" name="Rectangle 14"/>
        <xdr:cNvSpPr>
          <a:spLocks noChangeArrowheads="1"/>
        </xdr:cNvSpPr>
      </xdr:nvSpPr>
      <xdr:spPr bwMode="auto">
        <a:xfrm>
          <a:off x="3933825" y="3971925"/>
          <a:ext cx="600075" cy="219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8</xdr:col>
      <xdr:colOff>0</xdr:colOff>
      <xdr:row>25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5314950" y="3971925"/>
          <a:ext cx="1971675" cy="219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 editAs="oneCell">
    <xdr:from>
      <xdr:col>0</xdr:col>
      <xdr:colOff>600075</xdr:colOff>
      <xdr:row>0</xdr:row>
      <xdr:rowOff>152400</xdr:rowOff>
    </xdr:from>
    <xdr:to>
      <xdr:col>12</xdr:col>
      <xdr:colOff>0</xdr:colOff>
      <xdr:row>18</xdr:row>
      <xdr:rowOff>0</xdr:rowOff>
    </xdr:to>
    <xdr:pic>
      <xdr:nvPicPr>
        <xdr:cNvPr id="105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152400"/>
          <a:ext cx="10048875" cy="27622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406</xdr:colOff>
      <xdr:row>0</xdr:row>
      <xdr:rowOff>38100</xdr:rowOff>
    </xdr:from>
    <xdr:to>
      <xdr:col>15</xdr:col>
      <xdr:colOff>3922</xdr:colOff>
      <xdr:row>22</xdr:row>
      <xdr:rowOff>130658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247651</xdr:colOff>
      <xdr:row>125</xdr:row>
      <xdr:rowOff>47624</xdr:rowOff>
    </xdr:from>
    <xdr:to>
      <xdr:col>17</xdr:col>
      <xdr:colOff>419103</xdr:colOff>
      <xdr:row>126</xdr:row>
      <xdr:rowOff>104774</xdr:rowOff>
    </xdr:to>
    <xdr:cxnSp macro="">
      <xdr:nvCxnSpPr>
        <xdr:cNvPr id="4" name="Straight Connector 3"/>
        <xdr:cNvCxnSpPr/>
      </xdr:nvCxnSpPr>
      <xdr:spPr>
        <a:xfrm rot="5400000">
          <a:off x="10853739" y="20597811"/>
          <a:ext cx="219075" cy="1714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247648</xdr:colOff>
      <xdr:row>125</xdr:row>
      <xdr:rowOff>66675</xdr:rowOff>
    </xdr:from>
    <xdr:to>
      <xdr:col>17</xdr:col>
      <xdr:colOff>457203</xdr:colOff>
      <xdr:row>126</xdr:row>
      <xdr:rowOff>104775</xdr:rowOff>
    </xdr:to>
    <xdr:cxnSp macro="">
      <xdr:nvCxnSpPr>
        <xdr:cNvPr id="6" name="Straight Connector 5"/>
        <xdr:cNvCxnSpPr/>
      </xdr:nvCxnSpPr>
      <xdr:spPr>
        <a:xfrm>
          <a:off x="10879929" y="20902613"/>
          <a:ext cx="209555" cy="2047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114300</xdr:colOff>
      <xdr:row>125</xdr:row>
      <xdr:rowOff>66675</xdr:rowOff>
    </xdr:from>
    <xdr:to>
      <xdr:col>19</xdr:col>
      <xdr:colOff>495300</xdr:colOff>
      <xdr:row>125</xdr:row>
      <xdr:rowOff>68263</xdr:rowOff>
    </xdr:to>
    <xdr:cxnSp macro="">
      <xdr:nvCxnSpPr>
        <xdr:cNvPr id="14" name="Straight Connector 13"/>
        <xdr:cNvCxnSpPr/>
      </xdr:nvCxnSpPr>
      <xdr:spPr>
        <a:xfrm>
          <a:off x="11963400" y="20593050"/>
          <a:ext cx="3810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123825</xdr:colOff>
      <xdr:row>126</xdr:row>
      <xdr:rowOff>66675</xdr:rowOff>
    </xdr:from>
    <xdr:to>
      <xdr:col>19</xdr:col>
      <xdr:colOff>485775</xdr:colOff>
      <xdr:row>126</xdr:row>
      <xdr:rowOff>68263</xdr:rowOff>
    </xdr:to>
    <xdr:cxnSp macro="">
      <xdr:nvCxnSpPr>
        <xdr:cNvPr id="16" name="Straight Connector 15"/>
        <xdr:cNvCxnSpPr/>
      </xdr:nvCxnSpPr>
      <xdr:spPr>
        <a:xfrm>
          <a:off x="11972925" y="20754975"/>
          <a:ext cx="3619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107156</xdr:colOff>
      <xdr:row>140</xdr:row>
      <xdr:rowOff>119061</xdr:rowOff>
    </xdr:from>
    <xdr:to>
      <xdr:col>5</xdr:col>
      <xdr:colOff>488156</xdr:colOff>
      <xdr:row>140</xdr:row>
      <xdr:rowOff>120649</xdr:rowOff>
    </xdr:to>
    <xdr:cxnSp macro="">
      <xdr:nvCxnSpPr>
        <xdr:cNvPr id="9" name="Straight Connector 8"/>
        <xdr:cNvCxnSpPr/>
      </xdr:nvCxnSpPr>
      <xdr:spPr>
        <a:xfrm>
          <a:off x="3202781" y="23455311"/>
          <a:ext cx="3810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107156</xdr:colOff>
      <xdr:row>141</xdr:row>
      <xdr:rowOff>142872</xdr:rowOff>
    </xdr:from>
    <xdr:to>
      <xdr:col>5</xdr:col>
      <xdr:colOff>488156</xdr:colOff>
      <xdr:row>141</xdr:row>
      <xdr:rowOff>144460</xdr:rowOff>
    </xdr:to>
    <xdr:cxnSp macro="">
      <xdr:nvCxnSpPr>
        <xdr:cNvPr id="11" name="Straight Connector 10"/>
        <xdr:cNvCxnSpPr/>
      </xdr:nvCxnSpPr>
      <xdr:spPr>
        <a:xfrm>
          <a:off x="3202781" y="23645810"/>
          <a:ext cx="3810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190496</xdr:colOff>
      <xdr:row>141</xdr:row>
      <xdr:rowOff>35718</xdr:rowOff>
    </xdr:from>
    <xdr:to>
      <xdr:col>9</xdr:col>
      <xdr:colOff>416718</xdr:colOff>
      <xdr:row>141</xdr:row>
      <xdr:rowOff>36661</xdr:rowOff>
    </xdr:to>
    <xdr:cxnSp macro="">
      <xdr:nvCxnSpPr>
        <xdr:cNvPr id="12" name="Straight Connector 11"/>
        <xdr:cNvCxnSpPr/>
      </xdr:nvCxnSpPr>
      <xdr:spPr>
        <a:xfrm>
          <a:off x="5774527" y="23538656"/>
          <a:ext cx="226222" cy="9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190496</xdr:colOff>
      <xdr:row>142</xdr:row>
      <xdr:rowOff>0</xdr:rowOff>
    </xdr:from>
    <xdr:to>
      <xdr:col>9</xdr:col>
      <xdr:colOff>416718</xdr:colOff>
      <xdr:row>142</xdr:row>
      <xdr:rowOff>943</xdr:rowOff>
    </xdr:to>
    <xdr:cxnSp macro="">
      <xdr:nvCxnSpPr>
        <xdr:cNvPr id="15" name="Straight Connector 14"/>
        <xdr:cNvCxnSpPr/>
      </xdr:nvCxnSpPr>
      <xdr:spPr>
        <a:xfrm>
          <a:off x="5774527" y="23669625"/>
          <a:ext cx="226222" cy="9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opLeftCell="A29" zoomScale="85" zoomScaleNormal="85" workbookViewId="0">
      <selection activeCell="H30" sqref="H30"/>
    </sheetView>
  </sheetViews>
  <sheetFormatPr defaultRowHeight="12.75"/>
  <cols>
    <col min="4" max="4" width="13.5703125" customWidth="1"/>
    <col min="5" max="5" width="2.85546875" customWidth="1"/>
    <col min="6" max="6" width="15.140625" customWidth="1"/>
    <col min="7" max="7" width="9" style="1" customWidth="1"/>
    <col min="8" max="8" width="11.7109375" style="1" customWidth="1"/>
    <col min="9" max="9" width="29.5703125" style="1" customWidth="1"/>
    <col min="10" max="10" width="12.28515625" style="1" customWidth="1"/>
    <col min="11" max="11" width="12.140625" style="1" customWidth="1"/>
    <col min="12" max="12" width="25.85546875" customWidth="1"/>
    <col min="13" max="13" width="9" hidden="1" customWidth="1"/>
    <col min="14" max="14" width="5.28515625" hidden="1" customWidth="1"/>
    <col min="15" max="15" width="1.5703125" hidden="1" customWidth="1"/>
    <col min="17" max="17" width="8.28515625" customWidth="1"/>
    <col min="18" max="18" width="22.7109375" customWidth="1"/>
    <col min="19" max="19" width="12.42578125" customWidth="1"/>
  </cols>
  <sheetData>
    <row r="1" spans="12:17">
      <c r="L1" s="7"/>
      <c r="P1" s="7"/>
    </row>
    <row r="2" spans="12:17">
      <c r="L2" s="7"/>
      <c r="P2" s="7"/>
    </row>
    <row r="3" spans="12:17">
      <c r="L3" s="7"/>
      <c r="P3" s="7"/>
    </row>
    <row r="4" spans="12:17">
      <c r="L4" s="7"/>
      <c r="M4" s="7"/>
      <c r="N4" s="7"/>
      <c r="O4" s="7"/>
      <c r="P4" s="7"/>
    </row>
    <row r="5" spans="12:17">
      <c r="L5" s="7"/>
      <c r="M5" s="7"/>
      <c r="N5" s="7"/>
      <c r="O5" s="7"/>
      <c r="P5" s="7"/>
    </row>
    <row r="6" spans="12:17">
      <c r="L6" s="7"/>
      <c r="P6" s="7"/>
    </row>
    <row r="7" spans="12:17">
      <c r="L7" s="7"/>
    </row>
    <row r="8" spans="12:17">
      <c r="L8" s="7"/>
    </row>
    <row r="9" spans="12:17">
      <c r="L9" s="7"/>
    </row>
    <row r="10" spans="12:17">
      <c r="L10" s="7"/>
    </row>
    <row r="11" spans="12:17">
      <c r="L11" s="7"/>
    </row>
    <row r="12" spans="12:17">
      <c r="L12" s="7"/>
    </row>
    <row r="13" spans="12:17">
      <c r="L13" s="7"/>
    </row>
    <row r="14" spans="12:17">
      <c r="L14" s="7"/>
    </row>
    <row r="15" spans="12:17">
      <c r="L15" s="7"/>
    </row>
    <row r="16" spans="12:17">
      <c r="L16" s="7"/>
      <c r="Q16" s="19">
        <f>ATAN((I26/G26))</f>
        <v>0.64350110879328437</v>
      </c>
    </row>
    <row r="17" spans="1:16">
      <c r="L17" s="7"/>
    </row>
    <row r="18" spans="1:16">
      <c r="L18" s="7"/>
    </row>
    <row r="19" spans="1:16">
      <c r="A19" s="14"/>
      <c r="L19" s="7"/>
      <c r="P19" s="21"/>
    </row>
    <row r="20" spans="1:16" ht="18">
      <c r="A20" s="14"/>
      <c r="B20" s="7"/>
      <c r="F20" s="3" t="s">
        <v>19</v>
      </c>
      <c r="G20" s="5">
        <v>0</v>
      </c>
      <c r="H20" s="3" t="s">
        <v>16</v>
      </c>
      <c r="I20" s="5">
        <v>0</v>
      </c>
      <c r="J20" s="3" t="s">
        <v>22</v>
      </c>
      <c r="K20" s="5">
        <v>0</v>
      </c>
      <c r="L20" s="14"/>
    </row>
    <row r="21" spans="1:16" ht="18">
      <c r="A21" s="14"/>
      <c r="B21" s="7"/>
      <c r="F21" s="3" t="s">
        <v>20</v>
      </c>
      <c r="G21" s="5">
        <v>0</v>
      </c>
      <c r="H21" s="3" t="s">
        <v>17</v>
      </c>
      <c r="I21" s="5">
        <v>0</v>
      </c>
      <c r="J21" s="3" t="s">
        <v>23</v>
      </c>
      <c r="K21" s="5">
        <v>-500</v>
      </c>
      <c r="L21" s="14"/>
    </row>
    <row r="22" spans="1:16" ht="18">
      <c r="A22" s="14"/>
      <c r="B22" s="7"/>
      <c r="F22" s="3" t="s">
        <v>21</v>
      </c>
      <c r="G22" s="5">
        <v>0</v>
      </c>
      <c r="H22" s="3" t="s">
        <v>18</v>
      </c>
      <c r="I22" s="5">
        <v>0</v>
      </c>
      <c r="J22" s="3" t="s">
        <v>24</v>
      </c>
      <c r="K22" s="5">
        <v>0</v>
      </c>
      <c r="L22" s="14"/>
    </row>
    <row r="23" spans="1:16" ht="16.5" customHeight="1">
      <c r="A23" s="14"/>
      <c r="B23" s="7"/>
      <c r="F23" s="4"/>
      <c r="G23" s="2"/>
      <c r="H23" s="4"/>
      <c r="I23" s="2"/>
      <c r="L23" s="14"/>
    </row>
    <row r="24" spans="1:16" ht="18" hidden="1">
      <c r="A24" s="14"/>
      <c r="B24" s="7"/>
      <c r="F24" s="3"/>
      <c r="G24" s="5"/>
      <c r="H24" s="3"/>
      <c r="I24" s="5"/>
      <c r="L24" s="14"/>
      <c r="O24" s="6"/>
    </row>
    <row r="25" spans="1:16" ht="18" hidden="1">
      <c r="A25" s="14"/>
      <c r="B25" s="7"/>
      <c r="F25" s="4"/>
      <c r="G25" s="2"/>
      <c r="H25" s="4"/>
      <c r="I25" s="2"/>
      <c r="L25" s="14"/>
      <c r="O25" s="6"/>
    </row>
    <row r="26" spans="1:16" ht="17.25" customHeight="1">
      <c r="A26" s="14"/>
      <c r="B26" s="7"/>
      <c r="F26" s="3" t="s">
        <v>29</v>
      </c>
      <c r="G26" s="5">
        <v>4</v>
      </c>
      <c r="H26" s="3" t="s">
        <v>28</v>
      </c>
      <c r="I26" s="5">
        <v>3</v>
      </c>
      <c r="L26" s="14"/>
      <c r="O26" s="6"/>
    </row>
    <row r="27" spans="1:16" ht="0.75" customHeight="1">
      <c r="A27" s="14"/>
      <c r="B27" s="7"/>
      <c r="L27" s="14"/>
    </row>
    <row r="28" spans="1:16" ht="22.5" customHeight="1" thickBot="1">
      <c r="A28" s="14"/>
      <c r="B28" s="7"/>
      <c r="I28" s="23"/>
      <c r="L28" s="14"/>
    </row>
    <row r="29" spans="1:16" ht="23.25" thickBot="1">
      <c r="A29" s="14"/>
      <c r="B29" s="7"/>
      <c r="E29" s="7"/>
      <c r="F29" s="8" t="s">
        <v>30</v>
      </c>
      <c r="G29" s="102" t="s">
        <v>15</v>
      </c>
      <c r="H29" s="102"/>
      <c r="I29" s="22" t="s">
        <v>32</v>
      </c>
      <c r="J29" s="103" t="s">
        <v>31</v>
      </c>
      <c r="K29" s="104"/>
      <c r="L29" s="105"/>
    </row>
    <row r="30" spans="1:16" ht="19.5" thickBot="1">
      <c r="A30" s="14"/>
      <c r="B30" s="7"/>
      <c r="F30" s="9" t="s">
        <v>14</v>
      </c>
      <c r="G30" s="10" t="s">
        <v>0</v>
      </c>
      <c r="H30" s="11">
        <f>(K31/(SIN(Q16)))</f>
        <v>156.25</v>
      </c>
      <c r="I30" s="12" t="str">
        <f>IF(H30&lt;0,"عضو کششی","عضو فشاری")</f>
        <v>عضو فشاری</v>
      </c>
      <c r="J30" s="9" t="s">
        <v>25</v>
      </c>
      <c r="K30" s="13">
        <f>(((G21+I21+K21)*I26)+(G20*G26)+(I20*2*G26)+(K20*3*G26)+(G22*G26)+(I22*2*G26)+(K22*3*G26))/(4*G26)</f>
        <v>-93.75</v>
      </c>
      <c r="L30" s="20" t="str">
        <f>IF(K30&lt;0,"جهت تغییر می کند","")</f>
        <v>جهت تغییر می کند</v>
      </c>
      <c r="P30" s="21"/>
    </row>
    <row r="31" spans="1:16" ht="19.5" thickBot="1">
      <c r="A31" s="14"/>
      <c r="B31" s="7"/>
      <c r="F31" s="9" t="s">
        <v>13</v>
      </c>
      <c r="G31" s="10" t="s">
        <v>1</v>
      </c>
      <c r="H31" s="11">
        <f>(+H30*COS(Q16))+K32</f>
        <v>-375</v>
      </c>
      <c r="I31" s="12" t="str">
        <f>IF(H31&lt;0,"عضو فشاری ","عضو کششی")</f>
        <v xml:space="preserve">عضو فشاری </v>
      </c>
      <c r="J31" s="9" t="s">
        <v>26</v>
      </c>
      <c r="K31" s="13">
        <f>(K30-G20-G22-I20-I22-K20-K22)*-1</f>
        <v>93.75</v>
      </c>
      <c r="L31" s="20" t="str">
        <f>IF(K31&lt;0,"جهت تغییر می کند","")</f>
        <v/>
      </c>
      <c r="P31" s="21"/>
    </row>
    <row r="32" spans="1:16" ht="19.5" thickBot="1">
      <c r="A32" s="14"/>
      <c r="B32" s="7"/>
      <c r="F32" s="9" t="s">
        <v>13</v>
      </c>
      <c r="G32" s="10" t="s">
        <v>2</v>
      </c>
      <c r="H32" s="11">
        <f>G22</f>
        <v>0</v>
      </c>
      <c r="I32" s="12" t="str">
        <f>IF(H32&lt;0,"عضو فشاری ","عضو کششی")</f>
        <v>عضو کششی</v>
      </c>
      <c r="J32" s="9" t="s">
        <v>27</v>
      </c>
      <c r="K32" s="13">
        <f>(I21+G21+K21)</f>
        <v>-500</v>
      </c>
      <c r="L32" s="20" t="str">
        <f>IF(K32&lt;0,"جهت تغییر می کند","")</f>
        <v>جهت تغییر می کند</v>
      </c>
      <c r="P32" s="21"/>
    </row>
    <row r="33" spans="1:12" ht="18.75" thickBot="1">
      <c r="A33" s="14"/>
      <c r="B33" s="7"/>
      <c r="F33" s="9" t="s">
        <v>14</v>
      </c>
      <c r="G33" s="10" t="s">
        <v>3</v>
      </c>
      <c r="H33" s="11">
        <f>(G20+G22-K31)/SIN(Q16)</f>
        <v>-156.25</v>
      </c>
      <c r="I33" s="12" t="str">
        <f>IF(H33&lt;0,"عضو کششی ","عضو فشاری")</f>
        <v xml:space="preserve">عضو کششی </v>
      </c>
      <c r="L33" s="14"/>
    </row>
    <row r="34" spans="1:12" ht="18.75" thickBot="1">
      <c r="A34" s="14"/>
      <c r="B34" s="7"/>
      <c r="F34" s="9" t="s">
        <v>14</v>
      </c>
      <c r="G34" s="10" t="s">
        <v>4</v>
      </c>
      <c r="H34" s="11">
        <f>(-(H33*COS(Q16)*I26)+(K31*G26))/I26</f>
        <v>250</v>
      </c>
      <c r="I34" s="12" t="str">
        <f>IF(H34&lt;0,"عضو کششی","عضو فشاری")</f>
        <v>عضو فشاری</v>
      </c>
      <c r="L34" s="14"/>
    </row>
    <row r="35" spans="1:12" ht="18.75" thickBot="1">
      <c r="A35" s="14"/>
      <c r="B35" s="7"/>
      <c r="F35" s="9" t="s">
        <v>13</v>
      </c>
      <c r="G35" s="10" t="s">
        <v>5</v>
      </c>
      <c r="H35" s="11">
        <f>(H33*COS(Q16))+H34+K32</f>
        <v>-375</v>
      </c>
      <c r="I35" s="12" t="str">
        <f>IF(H35&lt;0,"عضو فشاری","عضو کششی")</f>
        <v>عضو فشاری</v>
      </c>
      <c r="L35" s="14"/>
    </row>
    <row r="36" spans="1:12" ht="18.75" thickBot="1">
      <c r="A36" s="14"/>
      <c r="B36" s="7"/>
      <c r="F36" s="9" t="s">
        <v>14</v>
      </c>
      <c r="G36" s="10" t="s">
        <v>6</v>
      </c>
      <c r="H36" s="11">
        <f>I20</f>
        <v>0</v>
      </c>
      <c r="I36" s="12" t="str">
        <f>IF(H36&lt;0,"عضو کششی","عضو فشاری")</f>
        <v>عضو فشاری</v>
      </c>
      <c r="L36" s="14"/>
    </row>
    <row r="37" spans="1:12" ht="18.75" thickBot="1">
      <c r="A37" s="14"/>
      <c r="B37" s="7"/>
      <c r="F37" s="9" t="s">
        <v>13</v>
      </c>
      <c r="G37" s="10" t="s">
        <v>7</v>
      </c>
      <c r="H37" s="11">
        <f>((-K31*G26)+(H33*COS(Q16)*I26))/I26</f>
        <v>-250</v>
      </c>
      <c r="I37" s="12" t="str">
        <f>IF(H37&lt;0,"عضو فشاری","عضو کششی")</f>
        <v>عضو فشاری</v>
      </c>
      <c r="L37" s="14"/>
    </row>
    <row r="38" spans="1:12" ht="18.75" thickBot="1">
      <c r="A38" s="14"/>
      <c r="B38" s="7"/>
      <c r="F38" s="9" t="s">
        <v>14</v>
      </c>
      <c r="G38" s="10" t="s">
        <v>8</v>
      </c>
      <c r="H38" s="11">
        <f>(-K30+K22+K20)/SIN(Q16)</f>
        <v>156.25</v>
      </c>
      <c r="I38" s="12" t="str">
        <f>IF(H38&lt;0,"عضو کششی ","عضو فشاری")</f>
        <v>عضو فشاری</v>
      </c>
      <c r="L38" s="14"/>
    </row>
    <row r="39" spans="1:12" ht="18.75" thickBot="1">
      <c r="A39" s="14"/>
      <c r="B39" s="7"/>
      <c r="F39" s="9" t="s">
        <v>13</v>
      </c>
      <c r="G39" s="10" t="s">
        <v>9</v>
      </c>
      <c r="H39" s="11">
        <f>H41</f>
        <v>-125</v>
      </c>
      <c r="I39" s="12" t="str">
        <f>IF(H39&lt;0,"عضو فشاری ","عضو کششی")</f>
        <v xml:space="preserve">عضو فشاری </v>
      </c>
      <c r="L39" s="14"/>
    </row>
    <row r="40" spans="1:12" ht="18.75" thickBot="1">
      <c r="A40" s="14"/>
      <c r="B40" s="7"/>
      <c r="F40" s="9" t="s">
        <v>13</v>
      </c>
      <c r="G40" s="10" t="s">
        <v>10</v>
      </c>
      <c r="H40" s="11">
        <f>K22</f>
        <v>0</v>
      </c>
      <c r="I40" s="12" t="str">
        <f>IF(H40&lt;0,"عضو فشاری","عضو کششی")</f>
        <v>عضو کششی</v>
      </c>
      <c r="L40" s="14"/>
    </row>
    <row r="41" spans="1:12" ht="18.75" thickBot="1">
      <c r="A41" s="14"/>
      <c r="B41" s="7"/>
      <c r="F41" s="9" t="s">
        <v>13</v>
      </c>
      <c r="G41" s="10" t="s">
        <v>11</v>
      </c>
      <c r="H41" s="11">
        <f>H42*COS(Q16)</f>
        <v>-125</v>
      </c>
      <c r="I41" s="12" t="str">
        <f>IF(H41&lt;0,"عضو فشاری ","عضو کششی")</f>
        <v xml:space="preserve">عضو فشاری </v>
      </c>
      <c r="L41" s="14"/>
    </row>
    <row r="42" spans="1:12" ht="18.75" thickBot="1">
      <c r="A42" s="14"/>
      <c r="B42" s="7"/>
      <c r="F42" s="9" t="s">
        <v>14</v>
      </c>
      <c r="G42" s="10" t="s">
        <v>12</v>
      </c>
      <c r="H42" s="11">
        <f>K30/SIN(Q16)</f>
        <v>-156.25</v>
      </c>
      <c r="I42" s="12" t="str">
        <f>IF(H42&lt;0,"عضو کششی","عضو فشاری")</f>
        <v>عضو کششی</v>
      </c>
      <c r="L42" s="14"/>
    </row>
    <row r="43" spans="1:12" ht="13.5" thickBot="1">
      <c r="A43" s="14"/>
      <c r="B43" s="15"/>
      <c r="C43" s="16"/>
      <c r="D43" s="16"/>
      <c r="E43" s="16"/>
      <c r="F43" s="16"/>
      <c r="G43" s="17"/>
      <c r="H43" s="17"/>
      <c r="I43" s="17"/>
      <c r="J43" s="17"/>
      <c r="K43" s="17"/>
      <c r="L43" s="18"/>
    </row>
  </sheetData>
  <sheetProtection password="CADA" sheet="1" objects="1" scenarios="1"/>
  <mergeCells count="2">
    <mergeCell ref="G29:H29"/>
    <mergeCell ref="J29:L29"/>
  </mergeCells>
  <phoneticPr fontId="2" type="noConversion"/>
  <pageMargins left="0.75" right="0.75" top="1" bottom="1" header="0.5" footer="0.5"/>
  <pageSetup paperSize="9" scale="80" orientation="landscape" horizontalDpi="300" verticalDpi="300" r:id="rId1"/>
  <headerFooter alignWithMargins="0"/>
  <colBreaks count="1" manualBreakCount="1">
    <brk id="15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49"/>
  <sheetViews>
    <sheetView tabSelected="1" topLeftCell="A16" zoomScale="80" zoomScaleNormal="80" workbookViewId="0">
      <selection activeCell="H26" sqref="H26:J38"/>
    </sheetView>
  </sheetViews>
  <sheetFormatPr defaultRowHeight="12.75"/>
  <cols>
    <col min="1" max="4" width="9.140625" style="25"/>
    <col min="5" max="5" width="10" style="25" bestFit="1" customWidth="1"/>
    <col min="6" max="6" width="9.140625" style="25"/>
    <col min="7" max="7" width="8.5703125" style="25" customWidth="1"/>
    <col min="8" max="8" width="10.5703125" style="25" bestFit="1" customWidth="1"/>
    <col min="9" max="9" width="9.140625" style="25"/>
    <col min="10" max="10" width="9.5703125" style="25" customWidth="1"/>
    <col min="11" max="12" width="9.140625" style="25"/>
    <col min="13" max="13" width="10.5703125" style="25" bestFit="1" customWidth="1"/>
    <col min="14" max="14" width="10" style="25" customWidth="1"/>
    <col min="15" max="16384" width="9.140625" style="25"/>
  </cols>
  <sheetData>
    <row r="1" spans="1:1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>
      <c r="A2" s="24"/>
      <c r="B2" s="24">
        <v>0</v>
      </c>
      <c r="C2" s="24">
        <v>0</v>
      </c>
      <c r="D2" s="24">
        <f>D30</f>
        <v>4</v>
      </c>
      <c r="E2" s="24">
        <f>E30</f>
        <v>4</v>
      </c>
      <c r="F2" s="24">
        <f>D34</f>
        <v>12</v>
      </c>
      <c r="G2" s="24">
        <v>0</v>
      </c>
      <c r="H2" s="24">
        <f>D38</f>
        <v>12</v>
      </c>
      <c r="I2" s="24">
        <f>E38</f>
        <v>4</v>
      </c>
      <c r="J2" s="24"/>
      <c r="K2" s="24"/>
      <c r="L2" s="24"/>
      <c r="M2" s="24"/>
    </row>
    <row r="3" spans="1:13">
      <c r="A3" s="24"/>
      <c r="B3" s="24">
        <f>D27</f>
        <v>4</v>
      </c>
      <c r="C3" s="24">
        <v>0</v>
      </c>
      <c r="D3" s="24">
        <f>F30</f>
        <v>8</v>
      </c>
      <c r="E3" s="24">
        <f>G30</f>
        <v>4</v>
      </c>
      <c r="F3" s="24">
        <f>F34</f>
        <v>12</v>
      </c>
      <c r="G3" s="24">
        <f>G34</f>
        <v>4</v>
      </c>
      <c r="H3" s="24">
        <f>F38</f>
        <v>16</v>
      </c>
      <c r="I3" s="24">
        <v>0</v>
      </c>
      <c r="J3" s="24"/>
      <c r="K3" s="24"/>
      <c r="L3" s="24"/>
      <c r="M3" s="24"/>
    </row>
    <row r="4" spans="1:13">
      <c r="A4" s="24"/>
      <c r="B4" s="24">
        <f>D27</f>
        <v>4</v>
      </c>
      <c r="C4" s="24">
        <v>0</v>
      </c>
      <c r="D4" s="24">
        <f>D31</f>
        <v>8</v>
      </c>
      <c r="E4" s="24">
        <f>E31</f>
        <v>4</v>
      </c>
      <c r="F4" s="24">
        <v>0</v>
      </c>
      <c r="G4" s="24">
        <v>0</v>
      </c>
      <c r="H4" s="24"/>
      <c r="I4" s="24"/>
      <c r="J4" s="24">
        <f>H11</f>
        <v>15.809523809523808</v>
      </c>
      <c r="K4" s="24">
        <v>0</v>
      </c>
      <c r="L4" s="24">
        <f>H3</f>
        <v>16</v>
      </c>
      <c r="M4" s="24">
        <v>0</v>
      </c>
    </row>
    <row r="5" spans="1:13">
      <c r="A5" s="24"/>
      <c r="B5" s="24">
        <f>F27</f>
        <v>8</v>
      </c>
      <c r="C5" s="24">
        <v>0</v>
      </c>
      <c r="D5" s="24">
        <f>F31</f>
        <v>12</v>
      </c>
      <c r="E5" s="24">
        <f>G31</f>
        <v>4</v>
      </c>
      <c r="F5" s="24">
        <f>F35</f>
        <v>4</v>
      </c>
      <c r="G5" s="24">
        <f>G35</f>
        <v>4</v>
      </c>
      <c r="H5" s="24"/>
      <c r="I5" s="24"/>
      <c r="J5" s="24">
        <f>J4+0.1</f>
        <v>15.909523809523808</v>
      </c>
      <c r="K5" s="24">
        <v>-0.1</v>
      </c>
      <c r="L5" s="24">
        <f>L4+0.1</f>
        <v>16.100000000000001</v>
      </c>
      <c r="M5" s="24">
        <v>-0.1</v>
      </c>
    </row>
    <row r="6" spans="1:13">
      <c r="A6" s="24"/>
      <c r="B6" s="24">
        <f>D28</f>
        <v>8</v>
      </c>
      <c r="C6" s="24">
        <v>0</v>
      </c>
      <c r="D6" s="24">
        <f>D32</f>
        <v>4</v>
      </c>
      <c r="E6" s="24">
        <v>0</v>
      </c>
      <c r="F6" s="24">
        <f>D36</f>
        <v>4</v>
      </c>
      <c r="G6" s="24">
        <f>E36</f>
        <v>4</v>
      </c>
      <c r="H6" s="24"/>
      <c r="I6" s="24"/>
      <c r="J6" s="24">
        <f>J4+0.2</f>
        <v>16.009523809523809</v>
      </c>
      <c r="K6" s="24">
        <v>-0.2</v>
      </c>
      <c r="L6" s="24">
        <f>L4+0.2</f>
        <v>16.2</v>
      </c>
      <c r="M6" s="24">
        <v>-0.2</v>
      </c>
    </row>
    <row r="7" spans="1:13">
      <c r="A7" s="24"/>
      <c r="B7" s="24">
        <f>F28</f>
        <v>12</v>
      </c>
      <c r="C7" s="24">
        <v>0</v>
      </c>
      <c r="D7" s="24">
        <f>F32</f>
        <v>4</v>
      </c>
      <c r="E7" s="24">
        <f>G32</f>
        <v>4</v>
      </c>
      <c r="F7" s="24">
        <f>F36</f>
        <v>8</v>
      </c>
      <c r="G7" s="24">
        <v>0</v>
      </c>
      <c r="H7" s="24"/>
      <c r="I7" s="24"/>
      <c r="J7" s="24">
        <f>J4+0.25</f>
        <v>16.05952380952381</v>
      </c>
      <c r="K7" s="24">
        <v>-0.25</v>
      </c>
      <c r="L7" s="24">
        <f>L4+0.25</f>
        <v>16.25</v>
      </c>
      <c r="M7" s="24">
        <v>-0.25</v>
      </c>
    </row>
    <row r="8" spans="1:13">
      <c r="A8" s="24"/>
      <c r="B8" s="24">
        <f>D29</f>
        <v>12</v>
      </c>
      <c r="C8" s="24">
        <v>0</v>
      </c>
      <c r="D8" s="24">
        <f>D33</f>
        <v>8</v>
      </c>
      <c r="E8" s="24">
        <v>0</v>
      </c>
      <c r="F8" s="24">
        <f>D37</f>
        <v>8</v>
      </c>
      <c r="G8" s="24">
        <v>0</v>
      </c>
      <c r="H8" s="24"/>
      <c r="I8" s="24"/>
      <c r="J8" s="24">
        <f>J6</f>
        <v>16.009523809523809</v>
      </c>
      <c r="K8" s="24">
        <v>-0.3</v>
      </c>
      <c r="L8" s="24">
        <f>L6</f>
        <v>16.2</v>
      </c>
      <c r="M8" s="24">
        <v>-0.3</v>
      </c>
    </row>
    <row r="9" spans="1:13">
      <c r="A9" s="24"/>
      <c r="B9" s="24">
        <f>F29</f>
        <v>16</v>
      </c>
      <c r="C9" s="24">
        <v>0</v>
      </c>
      <c r="D9" s="24">
        <f>F33</f>
        <v>8</v>
      </c>
      <c r="E9" s="24">
        <f>G33</f>
        <v>4</v>
      </c>
      <c r="F9" s="24">
        <f>F37</f>
        <v>12</v>
      </c>
      <c r="G9" s="24">
        <f>G37</f>
        <v>4</v>
      </c>
      <c r="H9" s="24"/>
      <c r="I9" s="24"/>
      <c r="J9" s="24">
        <f>J5</f>
        <v>15.909523809523808</v>
      </c>
      <c r="K9" s="24">
        <v>-0.4</v>
      </c>
      <c r="L9" s="24">
        <f>L5</f>
        <v>16.100000000000001</v>
      </c>
      <c r="M9" s="24">
        <v>-0.4</v>
      </c>
    </row>
    <row r="10" spans="1:13">
      <c r="A10" s="24"/>
      <c r="B10" s="24">
        <v>0</v>
      </c>
      <c r="C10" s="24">
        <v>0</v>
      </c>
      <c r="D10" s="24">
        <f>D2+G143</f>
        <v>3.8095238095238089</v>
      </c>
      <c r="E10" s="24">
        <f>E2+G144</f>
        <v>4.3251631964164865</v>
      </c>
      <c r="F10" s="24">
        <f>F2+G140</f>
        <v>11.857142857142856</v>
      </c>
      <c r="G10" s="24">
        <f>G2+G141</f>
        <v>0.32516319641648633</v>
      </c>
      <c r="H10" s="24">
        <f>H2+G147</f>
        <v>12</v>
      </c>
      <c r="I10" s="24">
        <f>G17</f>
        <v>4.3251631964164865</v>
      </c>
      <c r="J10" s="24">
        <f>J4</f>
        <v>15.809523809523808</v>
      </c>
      <c r="K10" s="24">
        <v>-0.5</v>
      </c>
      <c r="L10" s="24">
        <f>L4</f>
        <v>16</v>
      </c>
      <c r="M10" s="24">
        <v>-0.5</v>
      </c>
    </row>
    <row r="11" spans="1:13">
      <c r="A11" s="24"/>
      <c r="B11" s="24">
        <f>B3+G136</f>
        <v>3.9523809523809521</v>
      </c>
      <c r="C11" s="24">
        <f>C3+G137</f>
        <v>0.32516319641648639</v>
      </c>
      <c r="D11" s="24">
        <f>D3+G145</f>
        <v>7.9047619047619042</v>
      </c>
      <c r="E11" s="24">
        <f>E3+G146</f>
        <v>4.5550882975948763</v>
      </c>
      <c r="F11" s="24">
        <f>F3+G147</f>
        <v>12</v>
      </c>
      <c r="G11" s="24">
        <f>G3+G148</f>
        <v>4.3251631964164865</v>
      </c>
      <c r="H11" s="24">
        <f>H3+G142</f>
        <v>15.809523809523808</v>
      </c>
      <c r="I11" s="24">
        <v>0</v>
      </c>
      <c r="J11" s="24">
        <f>J4-0.1</f>
        <v>15.709523809523809</v>
      </c>
      <c r="K11" s="24">
        <v>-0.4</v>
      </c>
      <c r="L11" s="24">
        <f>L4-0.1</f>
        <v>15.9</v>
      </c>
      <c r="M11" s="24">
        <v>-0.4</v>
      </c>
    </row>
    <row r="12" spans="1:13">
      <c r="A12" s="24"/>
      <c r="B12" s="24">
        <f>B11</f>
        <v>3.9523809523809521</v>
      </c>
      <c r="C12" s="24">
        <f>G137</f>
        <v>0.32516319641648639</v>
      </c>
      <c r="D12" s="24">
        <f>D11</f>
        <v>7.9047619047619042</v>
      </c>
      <c r="E12" s="24">
        <f>E11</f>
        <v>4.5550882975948763</v>
      </c>
      <c r="F12" s="24">
        <v>0</v>
      </c>
      <c r="G12" s="24">
        <v>0</v>
      </c>
      <c r="H12" s="24"/>
      <c r="I12" s="24"/>
      <c r="J12" s="24">
        <f>J4-0.2</f>
        <v>15.609523809523809</v>
      </c>
      <c r="K12" s="24">
        <v>-0.3</v>
      </c>
      <c r="L12" s="24">
        <f>L4-0.2</f>
        <v>15.8</v>
      </c>
      <c r="M12" s="24">
        <v>-0.3</v>
      </c>
    </row>
    <row r="13" spans="1:13">
      <c r="A13" s="24"/>
      <c r="B13" s="24">
        <f>B5+G138</f>
        <v>7.9047619047619042</v>
      </c>
      <c r="C13" s="24">
        <f>G139</f>
        <v>0.55508829759487677</v>
      </c>
      <c r="D13" s="24">
        <f>G147+D5</f>
        <v>12</v>
      </c>
      <c r="E13" s="24">
        <f>E5+G148</f>
        <v>4.3251631964164865</v>
      </c>
      <c r="F13" s="24">
        <f>F5+G143</f>
        <v>3.8095238095238089</v>
      </c>
      <c r="G13" s="24">
        <f>G6+G144</f>
        <v>4.3251631964164865</v>
      </c>
      <c r="H13" s="24">
        <v>-0.5</v>
      </c>
      <c r="I13" s="24">
        <v>-0.5</v>
      </c>
      <c r="J13" s="24">
        <f>J4-0.25</f>
        <v>15.559523809523808</v>
      </c>
      <c r="K13" s="24">
        <v>-0.25</v>
      </c>
      <c r="L13" s="24">
        <f>L4-0.25</f>
        <v>15.75</v>
      </c>
      <c r="M13" s="24">
        <v>-0.25</v>
      </c>
    </row>
    <row r="14" spans="1:13">
      <c r="A14" s="24"/>
      <c r="B14" s="24">
        <f>B13</f>
        <v>7.9047619047619042</v>
      </c>
      <c r="C14" s="24">
        <f>C13</f>
        <v>0.55508829759487677</v>
      </c>
      <c r="D14" s="24">
        <f>D6+G136</f>
        <v>3.9523809523809521</v>
      </c>
      <c r="E14" s="24">
        <f>E6+G137</f>
        <v>0.32516319641648639</v>
      </c>
      <c r="F14" s="24">
        <f>F5+G143</f>
        <v>3.8095238095238089</v>
      </c>
      <c r="G14" s="24">
        <f>G13</f>
        <v>4.3251631964164865</v>
      </c>
      <c r="H14" s="24">
        <v>0</v>
      </c>
      <c r="I14" s="24">
        <v>0</v>
      </c>
      <c r="J14" s="24">
        <f>J13+0.05</f>
        <v>15.609523809523809</v>
      </c>
      <c r="K14" s="24">
        <v>-0.2</v>
      </c>
      <c r="L14" s="24">
        <f>L13+0.05</f>
        <v>15.8</v>
      </c>
      <c r="M14" s="24">
        <v>-0.2</v>
      </c>
    </row>
    <row r="15" spans="1:13">
      <c r="A15" s="24"/>
      <c r="B15" s="24">
        <f>B7+G140</f>
        <v>11.857142857142856</v>
      </c>
      <c r="C15" s="24">
        <f>C7+G141</f>
        <v>0.32516319641648633</v>
      </c>
      <c r="D15" s="24">
        <f>D7+G143</f>
        <v>3.8095238095238089</v>
      </c>
      <c r="E15" s="24">
        <f>E7+G144</f>
        <v>4.3251631964164865</v>
      </c>
      <c r="F15" s="24">
        <f>F7+G138</f>
        <v>7.9047619047619042</v>
      </c>
      <c r="G15" s="24">
        <f>G7+G139</f>
        <v>0.55508829759487677</v>
      </c>
      <c r="H15" s="24">
        <v>0.5</v>
      </c>
      <c r="I15" s="24">
        <v>-0.5</v>
      </c>
      <c r="J15" s="24">
        <f>J14+0.1</f>
        <v>15.709523809523809</v>
      </c>
      <c r="K15" s="24">
        <v>-0.1</v>
      </c>
      <c r="L15" s="24">
        <f>L14+0.1</f>
        <v>15.9</v>
      </c>
      <c r="M15" s="24">
        <v>-0.1</v>
      </c>
    </row>
    <row r="16" spans="1:13">
      <c r="A16" s="24"/>
      <c r="B16" s="24">
        <f>B15</f>
        <v>11.857142857142856</v>
      </c>
      <c r="C16" s="24">
        <f>C15</f>
        <v>0.32516319641648633</v>
      </c>
      <c r="D16" s="24">
        <f>D8+G138</f>
        <v>7.9047619047619042</v>
      </c>
      <c r="E16" s="24">
        <f>E8+G139</f>
        <v>0.55508829759487677</v>
      </c>
      <c r="F16" s="24">
        <f>F15</f>
        <v>7.9047619047619042</v>
      </c>
      <c r="G16" s="24">
        <f>G15</f>
        <v>0.55508829759487677</v>
      </c>
      <c r="H16" s="24">
        <v>-0.5</v>
      </c>
      <c r="I16" s="24">
        <v>-0.5</v>
      </c>
      <c r="J16" s="24">
        <f>J4</f>
        <v>15.809523809523808</v>
      </c>
      <c r="K16" s="24">
        <v>0</v>
      </c>
      <c r="L16" s="24">
        <f>L4</f>
        <v>16</v>
      </c>
      <c r="M16" s="24">
        <v>0</v>
      </c>
    </row>
    <row r="17" spans="1:23">
      <c r="A17" s="24"/>
      <c r="B17" s="24">
        <f>B9+G142</f>
        <v>15.809523809523808</v>
      </c>
      <c r="C17" s="24">
        <v>0</v>
      </c>
      <c r="D17" s="24">
        <f>D9+G145</f>
        <v>7.9047619047619042</v>
      </c>
      <c r="E17" s="24">
        <f>E9+G146</f>
        <v>4.5550882975948763</v>
      </c>
      <c r="F17" s="24">
        <f>F9+G147</f>
        <v>12</v>
      </c>
      <c r="G17" s="24">
        <f>G9+G148</f>
        <v>4.3251631964164865</v>
      </c>
      <c r="H17" s="24"/>
      <c r="I17" s="24"/>
      <c r="J17" s="24">
        <f>J10-0.5</f>
        <v>15.309523809523808</v>
      </c>
      <c r="K17" s="24">
        <v>-0.5</v>
      </c>
      <c r="L17" s="24">
        <f>L16-0.5</f>
        <v>15.5</v>
      </c>
      <c r="M17" s="24">
        <v>-0.5</v>
      </c>
    </row>
    <row r="18" spans="1:23">
      <c r="A18" s="24"/>
      <c r="B18" s="24"/>
      <c r="C18" s="24"/>
      <c r="D18" s="24"/>
      <c r="E18" s="24"/>
      <c r="F18" s="24"/>
      <c r="G18" s="24"/>
      <c r="H18" s="24"/>
      <c r="I18" s="24"/>
      <c r="J18" s="24">
        <f>J10</f>
        <v>15.809523809523808</v>
      </c>
      <c r="K18" s="24">
        <v>-0.5</v>
      </c>
      <c r="L18" s="24">
        <f>L4</f>
        <v>16</v>
      </c>
      <c r="M18" s="24">
        <v>-0.5</v>
      </c>
    </row>
    <row r="19" spans="1:23">
      <c r="A19" s="24"/>
      <c r="B19" s="24"/>
      <c r="C19" s="24"/>
      <c r="D19" s="24"/>
      <c r="E19" s="24"/>
      <c r="F19" s="24"/>
      <c r="G19" s="24"/>
      <c r="H19" s="24"/>
      <c r="I19" s="24"/>
      <c r="J19" s="24">
        <f>J18+0.5</f>
        <v>16.30952380952381</v>
      </c>
      <c r="K19" s="24">
        <v>-0.5</v>
      </c>
      <c r="L19" s="24">
        <f>L18+0.5</f>
        <v>16.5</v>
      </c>
      <c r="M19" s="24">
        <v>-0.5</v>
      </c>
    </row>
    <row r="20" spans="1:2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23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23">
      <c r="E22" s="89"/>
      <c r="F22" s="89"/>
      <c r="G22" s="89"/>
      <c r="H22" s="89"/>
      <c r="I22" s="89"/>
      <c r="J22" s="89"/>
      <c r="K22" s="89"/>
      <c r="L22" s="89"/>
      <c r="M22" s="89"/>
    </row>
    <row r="23" spans="1:23" ht="13.5" thickBot="1">
      <c r="E23" s="89"/>
      <c r="F23" s="89"/>
      <c r="G23" s="89"/>
      <c r="H23" s="89"/>
      <c r="I23" s="89"/>
      <c r="J23" s="90"/>
      <c r="K23" s="90"/>
      <c r="L23" s="90"/>
      <c r="M23" s="90"/>
      <c r="N23" s="26"/>
      <c r="O23" s="27">
        <f>ROUND(1/N24,3)</f>
        <v>0.6</v>
      </c>
    </row>
    <row r="24" spans="1:23" ht="12.75" customHeight="1" thickBot="1">
      <c r="B24" s="108" t="s">
        <v>33</v>
      </c>
      <c r="C24" s="110" t="s">
        <v>87</v>
      </c>
      <c r="D24" s="116" t="s">
        <v>34</v>
      </c>
      <c r="E24" s="117"/>
      <c r="F24" s="116" t="s">
        <v>35</v>
      </c>
      <c r="G24" s="117"/>
      <c r="H24" s="110" t="s">
        <v>36</v>
      </c>
      <c r="I24" s="115" t="s">
        <v>37</v>
      </c>
      <c r="J24" s="110" t="s">
        <v>41</v>
      </c>
      <c r="K24" s="111" t="s">
        <v>77</v>
      </c>
      <c r="L24" s="113" t="s">
        <v>78</v>
      </c>
      <c r="M24" s="28" t="s">
        <v>79</v>
      </c>
      <c r="N24" s="100">
        <v>1.667</v>
      </c>
      <c r="O24" s="106" t="s">
        <v>86</v>
      </c>
      <c r="R24" s="26"/>
      <c r="S24" s="26"/>
    </row>
    <row r="25" spans="1:23" ht="12.75" customHeight="1">
      <c r="B25" s="109"/>
      <c r="C25" s="111"/>
      <c r="D25" s="28" t="s">
        <v>38</v>
      </c>
      <c r="E25" s="28" t="s">
        <v>39</v>
      </c>
      <c r="F25" s="28" t="s">
        <v>38</v>
      </c>
      <c r="G25" s="28" t="s">
        <v>39</v>
      </c>
      <c r="H25" s="111"/>
      <c r="I25" s="113"/>
      <c r="J25" s="111"/>
      <c r="K25" s="112"/>
      <c r="L25" s="114"/>
      <c r="M25" s="29" t="str">
        <f>O23&amp;J24</f>
        <v>0.6Fy</v>
      </c>
      <c r="N25" s="30"/>
      <c r="O25" s="107"/>
      <c r="Q25" s="31" t="s">
        <v>40</v>
      </c>
      <c r="R25" s="32" t="s">
        <v>85</v>
      </c>
      <c r="S25" s="32" t="s">
        <v>84</v>
      </c>
      <c r="T25" s="33" t="s">
        <v>73</v>
      </c>
      <c r="U25" s="34" t="s">
        <v>74</v>
      </c>
      <c r="V25" s="35" t="s">
        <v>75</v>
      </c>
      <c r="W25" s="36" t="s">
        <v>76</v>
      </c>
    </row>
    <row r="26" spans="1:23">
      <c r="B26" s="37">
        <v>1</v>
      </c>
      <c r="C26" s="38">
        <v>4</v>
      </c>
      <c r="D26" s="29">
        <v>0</v>
      </c>
      <c r="E26" s="29">
        <v>0</v>
      </c>
      <c r="F26" s="29">
        <f>C26</f>
        <v>4</v>
      </c>
      <c r="G26" s="29">
        <v>0</v>
      </c>
      <c r="H26" s="38">
        <v>10</v>
      </c>
      <c r="I26" s="39">
        <v>2100000</v>
      </c>
      <c r="J26" s="38">
        <v>2400</v>
      </c>
      <c r="K26" s="29">
        <f>ROUND(O43/1000,3)</f>
        <v>-2.5</v>
      </c>
      <c r="L26" s="40">
        <f t="shared" ref="L26:L38" si="0">ABS(K26*1000)/H26</f>
        <v>250</v>
      </c>
      <c r="M26" s="29">
        <f>O23*J26</f>
        <v>1440</v>
      </c>
      <c r="N26" s="40" t="str">
        <f>IF(L26&gt;M26,"over stress","")</f>
        <v/>
      </c>
      <c r="O26" s="41">
        <f>ROUND(L26/M26,2)</f>
        <v>0.17</v>
      </c>
      <c r="Q26" s="42">
        <v>1</v>
      </c>
      <c r="R26" s="29">
        <v>0</v>
      </c>
      <c r="S26" s="29">
        <v>0</v>
      </c>
      <c r="T26" s="43">
        <v>0</v>
      </c>
      <c r="U26" s="44">
        <v>0</v>
      </c>
      <c r="V26" s="45">
        <v>0</v>
      </c>
      <c r="W26" s="41">
        <v>0</v>
      </c>
    </row>
    <row r="27" spans="1:23">
      <c r="B27" s="37">
        <v>2</v>
      </c>
      <c r="C27" s="46">
        <f>C26</f>
        <v>4</v>
      </c>
      <c r="D27" s="29">
        <f>C27</f>
        <v>4</v>
      </c>
      <c r="E27" s="29">
        <v>0</v>
      </c>
      <c r="F27" s="29">
        <f>D27*2</f>
        <v>8</v>
      </c>
      <c r="G27" s="29">
        <v>0</v>
      </c>
      <c r="H27" s="38">
        <v>10</v>
      </c>
      <c r="I27" s="39">
        <v>2100000</v>
      </c>
      <c r="J27" s="38">
        <v>2400</v>
      </c>
      <c r="K27" s="29">
        <f>ROUND(O49/1000,3)</f>
        <v>-2.5</v>
      </c>
      <c r="L27" s="40">
        <f t="shared" si="0"/>
        <v>250</v>
      </c>
      <c r="M27" s="29">
        <f>J27*O23</f>
        <v>1440</v>
      </c>
      <c r="N27" s="40" t="str">
        <f t="shared" ref="N27:N38" si="1">IF(L27&gt;M27,"over stress","")</f>
        <v/>
      </c>
      <c r="O27" s="41">
        <f t="shared" ref="O27:O38" si="2">ROUND(L27/M27,2)</f>
        <v>0.17</v>
      </c>
      <c r="Q27" s="42">
        <v>2</v>
      </c>
      <c r="R27" s="29">
        <f>D27</f>
        <v>4</v>
      </c>
      <c r="S27" s="29">
        <v>0</v>
      </c>
      <c r="T27" s="43">
        <v>0</v>
      </c>
      <c r="U27" s="44">
        <v>0</v>
      </c>
      <c r="V27" s="91">
        <f>ROUND(G136,4)</f>
        <v>-4.7600000000000003E-2</v>
      </c>
      <c r="W27" s="92">
        <f>ROUND(G137,4)</f>
        <v>0.32519999999999999</v>
      </c>
    </row>
    <row r="28" spans="1:23">
      <c r="B28" s="37">
        <v>3</v>
      </c>
      <c r="C28" s="46">
        <f>C26</f>
        <v>4</v>
      </c>
      <c r="D28" s="29">
        <f>F27</f>
        <v>8</v>
      </c>
      <c r="E28" s="29">
        <v>0</v>
      </c>
      <c r="F28" s="29">
        <f>D27*3</f>
        <v>12</v>
      </c>
      <c r="G28" s="29">
        <v>0</v>
      </c>
      <c r="H28" s="38">
        <v>10</v>
      </c>
      <c r="I28" s="39">
        <v>2100000</v>
      </c>
      <c r="J28" s="38">
        <v>2400</v>
      </c>
      <c r="K28" s="29">
        <f>ROUND(O55/1000,3)</f>
        <v>-2.5</v>
      </c>
      <c r="L28" s="40">
        <f t="shared" si="0"/>
        <v>250</v>
      </c>
      <c r="M28" s="29">
        <f>J28*O23</f>
        <v>1440</v>
      </c>
      <c r="N28" s="40" t="str">
        <f t="shared" si="1"/>
        <v/>
      </c>
      <c r="O28" s="41">
        <f t="shared" si="2"/>
        <v>0.17</v>
      </c>
      <c r="Q28" s="42">
        <v>3</v>
      </c>
      <c r="R28" s="29">
        <f>D28</f>
        <v>8</v>
      </c>
      <c r="S28" s="29">
        <v>0</v>
      </c>
      <c r="T28" s="43">
        <v>0</v>
      </c>
      <c r="U28" s="44">
        <v>5</v>
      </c>
      <c r="V28" s="91">
        <f>ROUND(G138,4)</f>
        <v>-9.5200000000000007E-2</v>
      </c>
      <c r="W28" s="92">
        <f>ROUND(G139,4)</f>
        <v>0.55510000000000004</v>
      </c>
    </row>
    <row r="29" spans="1:23">
      <c r="B29" s="37">
        <v>4</v>
      </c>
      <c r="C29" s="46">
        <f>C26</f>
        <v>4</v>
      </c>
      <c r="D29" s="29">
        <f>F28</f>
        <v>12</v>
      </c>
      <c r="E29" s="29">
        <v>0</v>
      </c>
      <c r="F29" s="29">
        <f>D27*4</f>
        <v>16</v>
      </c>
      <c r="G29" s="29">
        <v>0</v>
      </c>
      <c r="H29" s="38">
        <v>10</v>
      </c>
      <c r="I29" s="39">
        <v>2100000</v>
      </c>
      <c r="J29" s="38">
        <v>2400</v>
      </c>
      <c r="K29" s="29">
        <f>ROUND(O61/1000,3)</f>
        <v>-2.5</v>
      </c>
      <c r="L29" s="40">
        <f t="shared" si="0"/>
        <v>250</v>
      </c>
      <c r="M29" s="29">
        <f>O23*J29</f>
        <v>1440</v>
      </c>
      <c r="N29" s="40" t="str">
        <f t="shared" si="1"/>
        <v/>
      </c>
      <c r="O29" s="41">
        <f t="shared" si="2"/>
        <v>0.17</v>
      </c>
      <c r="Q29" s="42">
        <v>4</v>
      </c>
      <c r="R29" s="29">
        <f>D29</f>
        <v>12</v>
      </c>
      <c r="S29" s="29">
        <v>0</v>
      </c>
      <c r="T29" s="43">
        <v>0</v>
      </c>
      <c r="U29" s="44">
        <v>0</v>
      </c>
      <c r="V29" s="91">
        <f>ROUND(G140,4)</f>
        <v>-0.1429</v>
      </c>
      <c r="W29" s="92">
        <f>ROUND(G141,4)</f>
        <v>0.32519999999999999</v>
      </c>
    </row>
    <row r="30" spans="1:23">
      <c r="B30" s="37">
        <v>5</v>
      </c>
      <c r="C30" s="46">
        <f>C26</f>
        <v>4</v>
      </c>
      <c r="D30" s="29">
        <f>D27</f>
        <v>4</v>
      </c>
      <c r="E30" s="29">
        <f>C32</f>
        <v>4</v>
      </c>
      <c r="F30" s="29">
        <f>F27</f>
        <v>8</v>
      </c>
      <c r="G30" s="29">
        <f>C32</f>
        <v>4</v>
      </c>
      <c r="H30" s="38">
        <v>10</v>
      </c>
      <c r="I30" s="39">
        <v>2100000</v>
      </c>
      <c r="J30" s="38">
        <v>2400</v>
      </c>
      <c r="K30" s="29">
        <f>ROUND(O67/1000,3)</f>
        <v>5</v>
      </c>
      <c r="L30" s="40">
        <f t="shared" si="0"/>
        <v>500</v>
      </c>
      <c r="M30" s="29">
        <f>O23*J30</f>
        <v>1440</v>
      </c>
      <c r="N30" s="40" t="str">
        <f t="shared" si="1"/>
        <v/>
      </c>
      <c r="O30" s="41">
        <f t="shared" si="2"/>
        <v>0.35</v>
      </c>
      <c r="Q30" s="42">
        <v>5</v>
      </c>
      <c r="R30" s="29">
        <f>F29</f>
        <v>16</v>
      </c>
      <c r="S30" s="29">
        <v>0</v>
      </c>
      <c r="T30" s="43">
        <v>0</v>
      </c>
      <c r="U30" s="44">
        <v>0</v>
      </c>
      <c r="V30" s="91">
        <f>ROUND(G142,4)</f>
        <v>-0.1905</v>
      </c>
      <c r="W30" s="41">
        <v>0</v>
      </c>
    </row>
    <row r="31" spans="1:23">
      <c r="B31" s="37">
        <v>6</v>
      </c>
      <c r="C31" s="46">
        <f>C26</f>
        <v>4</v>
      </c>
      <c r="D31" s="29">
        <f>D28</f>
        <v>8</v>
      </c>
      <c r="E31" s="29">
        <f>C32</f>
        <v>4</v>
      </c>
      <c r="F31" s="29">
        <f>F28</f>
        <v>12</v>
      </c>
      <c r="G31" s="29">
        <f>C32</f>
        <v>4</v>
      </c>
      <c r="H31" s="38">
        <v>10</v>
      </c>
      <c r="I31" s="39">
        <v>2100000</v>
      </c>
      <c r="J31" s="38">
        <v>2400</v>
      </c>
      <c r="K31" s="29">
        <f>ROUND(O73/1000,3)</f>
        <v>5</v>
      </c>
      <c r="L31" s="40">
        <f t="shared" si="0"/>
        <v>500</v>
      </c>
      <c r="M31" s="29">
        <f>O23*J31</f>
        <v>1440</v>
      </c>
      <c r="N31" s="40" t="str">
        <f t="shared" si="1"/>
        <v/>
      </c>
      <c r="O31" s="41">
        <f t="shared" si="2"/>
        <v>0.35</v>
      </c>
      <c r="Q31" s="42">
        <v>6</v>
      </c>
      <c r="R31" s="29">
        <f>D30</f>
        <v>4</v>
      </c>
      <c r="S31" s="29">
        <f>E30</f>
        <v>4</v>
      </c>
      <c r="T31" s="43">
        <v>0</v>
      </c>
      <c r="U31" s="44">
        <v>0</v>
      </c>
      <c r="V31" s="91">
        <f>ROUND(G143,4)</f>
        <v>-0.1905</v>
      </c>
      <c r="W31" s="92">
        <f>ROUND(G144,4)</f>
        <v>0.32519999999999999</v>
      </c>
    </row>
    <row r="32" spans="1:23">
      <c r="B32" s="37">
        <v>7</v>
      </c>
      <c r="C32" s="38">
        <v>4</v>
      </c>
      <c r="D32" s="29">
        <f>D27</f>
        <v>4</v>
      </c>
      <c r="E32" s="29">
        <v>0</v>
      </c>
      <c r="F32" s="29">
        <f>D32</f>
        <v>4</v>
      </c>
      <c r="G32" s="29">
        <f>C32</f>
        <v>4</v>
      </c>
      <c r="H32" s="38">
        <v>10</v>
      </c>
      <c r="I32" s="39">
        <v>2100000</v>
      </c>
      <c r="J32" s="38">
        <v>2400</v>
      </c>
      <c r="K32" s="29">
        <f>ROUND(O79/1000,3)</f>
        <v>0</v>
      </c>
      <c r="L32" s="40">
        <f t="shared" si="0"/>
        <v>0</v>
      </c>
      <c r="M32" s="29">
        <f>O23*J32</f>
        <v>1440</v>
      </c>
      <c r="N32" s="40" t="str">
        <f t="shared" si="1"/>
        <v/>
      </c>
      <c r="O32" s="41">
        <f t="shared" si="2"/>
        <v>0</v>
      </c>
      <c r="Q32" s="42">
        <v>7</v>
      </c>
      <c r="R32" s="29">
        <f>F30</f>
        <v>8</v>
      </c>
      <c r="S32" s="29">
        <f>G33</f>
        <v>4</v>
      </c>
      <c r="T32" s="43">
        <v>0</v>
      </c>
      <c r="U32" s="44">
        <v>0</v>
      </c>
      <c r="V32" s="91">
        <f>ROUND(G145,4)</f>
        <v>-9.5200000000000007E-2</v>
      </c>
      <c r="W32" s="92">
        <f>ROUND(G146,4)</f>
        <v>0.55510000000000004</v>
      </c>
    </row>
    <row r="33" spans="1:23" ht="13.5" thickBot="1">
      <c r="B33" s="37">
        <v>8</v>
      </c>
      <c r="C33" s="46">
        <f>C32</f>
        <v>4</v>
      </c>
      <c r="D33" s="29">
        <f>D31</f>
        <v>8</v>
      </c>
      <c r="E33" s="29">
        <v>0</v>
      </c>
      <c r="F33" s="29">
        <f>D33</f>
        <v>8</v>
      </c>
      <c r="G33" s="29">
        <f>G32</f>
        <v>4</v>
      </c>
      <c r="H33" s="38">
        <v>10</v>
      </c>
      <c r="I33" s="39">
        <v>2100000</v>
      </c>
      <c r="J33" s="38">
        <v>2400</v>
      </c>
      <c r="K33" s="29">
        <f>ROUND(O85/1000,3)</f>
        <v>0</v>
      </c>
      <c r="L33" s="40">
        <f t="shared" si="0"/>
        <v>0</v>
      </c>
      <c r="M33" s="29">
        <f>O23*J33</f>
        <v>1440</v>
      </c>
      <c r="N33" s="40" t="str">
        <f t="shared" si="1"/>
        <v/>
      </c>
      <c r="O33" s="41">
        <f t="shared" si="2"/>
        <v>0</v>
      </c>
      <c r="Q33" s="47">
        <v>8</v>
      </c>
      <c r="R33" s="48">
        <f>F31</f>
        <v>12</v>
      </c>
      <c r="S33" s="48">
        <f>G31</f>
        <v>4</v>
      </c>
      <c r="T33" s="49">
        <v>0</v>
      </c>
      <c r="U33" s="50">
        <v>0</v>
      </c>
      <c r="V33" s="93">
        <f>ROUND(G147,4)</f>
        <v>0</v>
      </c>
      <c r="W33" s="94">
        <f>ROUND(G148,4)</f>
        <v>0.32519999999999999</v>
      </c>
    </row>
    <row r="34" spans="1:23" ht="13.5" thickBot="1">
      <c r="B34" s="37">
        <v>9</v>
      </c>
      <c r="C34" s="46">
        <f>C32</f>
        <v>4</v>
      </c>
      <c r="D34" s="29">
        <f>F31</f>
        <v>12</v>
      </c>
      <c r="E34" s="29">
        <v>0</v>
      </c>
      <c r="F34" s="29">
        <f>D34</f>
        <v>12</v>
      </c>
      <c r="G34" s="29">
        <f>C32</f>
        <v>4</v>
      </c>
      <c r="H34" s="38">
        <v>10</v>
      </c>
      <c r="I34" s="39">
        <v>2100000</v>
      </c>
      <c r="J34" s="38">
        <v>2400</v>
      </c>
      <c r="K34" s="29">
        <f>ROUND(O91/1000,3)</f>
        <v>0</v>
      </c>
      <c r="L34" s="40">
        <f t="shared" si="0"/>
        <v>0</v>
      </c>
      <c r="M34" s="29">
        <f>O23*J34</f>
        <v>1440</v>
      </c>
      <c r="N34" s="40" t="str">
        <f t="shared" si="1"/>
        <v/>
      </c>
      <c r="O34" s="41">
        <f t="shared" si="2"/>
        <v>0</v>
      </c>
    </row>
    <row r="35" spans="1:23">
      <c r="B35" s="37">
        <v>10</v>
      </c>
      <c r="C35" s="95">
        <f>SQRT(SUMSQ(C26,C32))</f>
        <v>5.6568542494923806</v>
      </c>
      <c r="D35" s="29">
        <v>0</v>
      </c>
      <c r="E35" s="29">
        <v>0</v>
      </c>
      <c r="F35" s="29">
        <f>D27</f>
        <v>4</v>
      </c>
      <c r="G35" s="29">
        <f>C32</f>
        <v>4</v>
      </c>
      <c r="H35" s="38">
        <v>10</v>
      </c>
      <c r="I35" s="39">
        <v>2100000</v>
      </c>
      <c r="J35" s="38">
        <v>2400</v>
      </c>
      <c r="K35" s="29">
        <f>ROUND(O97/1000,3)</f>
        <v>3.536</v>
      </c>
      <c r="L35" s="40">
        <f t="shared" si="0"/>
        <v>353.6</v>
      </c>
      <c r="M35" s="29">
        <f>O23*J35</f>
        <v>1440</v>
      </c>
      <c r="N35" s="40" t="str">
        <f t="shared" si="1"/>
        <v/>
      </c>
      <c r="O35" s="41">
        <f t="shared" si="2"/>
        <v>0.25</v>
      </c>
      <c r="Q35" s="52" t="s">
        <v>40</v>
      </c>
      <c r="R35" s="36" t="s">
        <v>83</v>
      </c>
    </row>
    <row r="36" spans="1:23">
      <c r="B36" s="37">
        <v>11</v>
      </c>
      <c r="C36" s="95">
        <f>C35</f>
        <v>5.6568542494923806</v>
      </c>
      <c r="D36" s="29">
        <f>F35</f>
        <v>4</v>
      </c>
      <c r="E36" s="29">
        <f>C32</f>
        <v>4</v>
      </c>
      <c r="F36" s="29">
        <f>F33</f>
        <v>8</v>
      </c>
      <c r="G36" s="29">
        <v>0</v>
      </c>
      <c r="H36" s="38">
        <v>10</v>
      </c>
      <c r="I36" s="39">
        <v>2100000</v>
      </c>
      <c r="J36" s="38">
        <v>2400</v>
      </c>
      <c r="K36" s="29">
        <f>ROUND(O103/1000,3)</f>
        <v>-3.536</v>
      </c>
      <c r="L36" s="40">
        <f t="shared" si="0"/>
        <v>353.6</v>
      </c>
      <c r="M36" s="29">
        <f>O23*J36</f>
        <v>1440</v>
      </c>
      <c r="N36" s="40" t="str">
        <f t="shared" si="1"/>
        <v/>
      </c>
      <c r="O36" s="41">
        <f t="shared" si="2"/>
        <v>0.25</v>
      </c>
      <c r="Q36" s="53" t="s">
        <v>80</v>
      </c>
      <c r="R36" s="41">
        <f>ROUND(K141/1000,3)</f>
        <v>0</v>
      </c>
    </row>
    <row r="37" spans="1:23">
      <c r="B37" s="37">
        <v>12</v>
      </c>
      <c r="C37" s="95">
        <f>C35</f>
        <v>5.6568542494923806</v>
      </c>
      <c r="D37" s="29">
        <f>F36</f>
        <v>8</v>
      </c>
      <c r="E37" s="29">
        <v>0</v>
      </c>
      <c r="F37" s="29">
        <f>F34</f>
        <v>12</v>
      </c>
      <c r="G37" s="29">
        <f>C32</f>
        <v>4</v>
      </c>
      <c r="H37" s="38">
        <v>10</v>
      </c>
      <c r="I37" s="39">
        <v>2100000</v>
      </c>
      <c r="J37" s="38">
        <v>2400</v>
      </c>
      <c r="K37" s="29">
        <f>ROUND(O109/1000,3)</f>
        <v>-3.536</v>
      </c>
      <c r="L37" s="40">
        <f t="shared" si="0"/>
        <v>353.6</v>
      </c>
      <c r="M37" s="29">
        <f>O23*J37</f>
        <v>1440</v>
      </c>
      <c r="N37" s="40" t="str">
        <f t="shared" si="1"/>
        <v/>
      </c>
      <c r="O37" s="41">
        <f t="shared" si="2"/>
        <v>0.25</v>
      </c>
      <c r="Q37" s="53" t="s">
        <v>81</v>
      </c>
      <c r="R37" s="41">
        <f>ROUND(K142/1000,3)</f>
        <v>-2.5</v>
      </c>
    </row>
    <row r="38" spans="1:23" ht="13.5" thickBot="1">
      <c r="B38" s="54">
        <v>13</v>
      </c>
      <c r="C38" s="96">
        <f>C37</f>
        <v>5.6568542494923806</v>
      </c>
      <c r="D38" s="48">
        <f>F37</f>
        <v>12</v>
      </c>
      <c r="E38" s="48">
        <f>C32</f>
        <v>4</v>
      </c>
      <c r="F38" s="48">
        <f>F29</f>
        <v>16</v>
      </c>
      <c r="G38" s="48">
        <v>0</v>
      </c>
      <c r="H38" s="38">
        <v>10</v>
      </c>
      <c r="I38" s="55">
        <v>2100000</v>
      </c>
      <c r="J38" s="55">
        <v>2400</v>
      </c>
      <c r="K38" s="48">
        <f>ROUND(O115/1000,3)</f>
        <v>3.536</v>
      </c>
      <c r="L38" s="56">
        <f t="shared" si="0"/>
        <v>353.6</v>
      </c>
      <c r="M38" s="48">
        <f>O23*J38</f>
        <v>1440</v>
      </c>
      <c r="N38" s="56" t="str">
        <f t="shared" si="1"/>
        <v/>
      </c>
      <c r="O38" s="51">
        <f t="shared" si="2"/>
        <v>0.25</v>
      </c>
      <c r="Q38" s="57" t="s">
        <v>82</v>
      </c>
      <c r="R38" s="51">
        <f>ROUND(K143/1000,3)</f>
        <v>-2.5</v>
      </c>
    </row>
    <row r="39" spans="1:23">
      <c r="G39" s="58"/>
      <c r="H39" s="59"/>
    </row>
    <row r="40" spans="1:23" ht="13.5" thickBot="1">
      <c r="A40" s="60">
        <v>1</v>
      </c>
      <c r="B40" s="60">
        <v>2</v>
      </c>
      <c r="C40" s="60">
        <v>3</v>
      </c>
      <c r="D40" s="60">
        <v>4</v>
      </c>
      <c r="N40" s="61"/>
    </row>
    <row r="41" spans="1:23">
      <c r="A41" s="62" t="s">
        <v>42</v>
      </c>
      <c r="B41" s="63">
        <f>(F26-D26)/C26</f>
        <v>1</v>
      </c>
      <c r="C41" s="64" t="s">
        <v>43</v>
      </c>
      <c r="D41" s="63">
        <f>(G26-E26)/C26</f>
        <v>0</v>
      </c>
      <c r="E41" s="65">
        <f>(H26*I26)/(C26*100)</f>
        <v>52500</v>
      </c>
      <c r="N41" s="61"/>
    </row>
    <row r="42" spans="1:23">
      <c r="A42" s="66">
        <f>E41*(B41^2)</f>
        <v>52500</v>
      </c>
      <c r="B42" s="67">
        <f>E41*D41*B41</f>
        <v>0</v>
      </c>
      <c r="C42" s="67">
        <f>-A42</f>
        <v>-52500</v>
      </c>
      <c r="D42" s="67">
        <f>-B41*D41*E41</f>
        <v>0</v>
      </c>
      <c r="E42" s="68"/>
      <c r="F42" s="88">
        <v>1</v>
      </c>
      <c r="H42" s="60">
        <v>1</v>
      </c>
      <c r="I42" s="60">
        <v>2</v>
      </c>
      <c r="J42" s="60">
        <v>3</v>
      </c>
      <c r="K42" s="60">
        <v>4</v>
      </c>
      <c r="L42" s="68"/>
      <c r="M42" s="69">
        <v>0</v>
      </c>
      <c r="N42" s="70"/>
    </row>
    <row r="43" spans="1:23" ht="15">
      <c r="A43" s="66">
        <f>E41*B41*D41</f>
        <v>0</v>
      </c>
      <c r="B43" s="67">
        <f>E41*(D41^2)</f>
        <v>0</v>
      </c>
      <c r="C43" s="67">
        <f>-B41*D41*E41</f>
        <v>0</v>
      </c>
      <c r="D43" s="67">
        <f>-(D41^2)*E41</f>
        <v>0</v>
      </c>
      <c r="E43" s="68">
        <v>1</v>
      </c>
      <c r="F43" s="88">
        <v>2</v>
      </c>
      <c r="G43" s="71" t="s">
        <v>60</v>
      </c>
      <c r="H43" s="60">
        <f>-B41*E41</f>
        <v>-52500</v>
      </c>
      <c r="I43" s="60">
        <f>-D41*E41</f>
        <v>0</v>
      </c>
      <c r="J43" s="60">
        <f>B41*E41</f>
        <v>52500</v>
      </c>
      <c r="K43" s="72">
        <f>D41*E41</f>
        <v>0</v>
      </c>
      <c r="L43" s="68"/>
      <c r="M43" s="69">
        <v>0</v>
      </c>
      <c r="N43" s="101" t="s">
        <v>88</v>
      </c>
      <c r="O43" s="73">
        <f>INDEX(MMULT(H43:K43,M42:M45),1,1)</f>
        <v>-2500.0000000000132</v>
      </c>
    </row>
    <row r="44" spans="1:23">
      <c r="A44" s="66">
        <f>-(B41^2)*E41</f>
        <v>-52500</v>
      </c>
      <c r="B44" s="67">
        <f>-B41*D41*E41</f>
        <v>0</v>
      </c>
      <c r="C44" s="67">
        <f>E41*(B41^2)</f>
        <v>52500</v>
      </c>
      <c r="D44" s="67">
        <f>B41*D41*E41</f>
        <v>0</v>
      </c>
      <c r="E44" s="68"/>
      <c r="F44" s="88">
        <v>3</v>
      </c>
      <c r="L44" s="68"/>
      <c r="M44" s="69">
        <f>G136</f>
        <v>-4.7619047619047866E-2</v>
      </c>
      <c r="N44" s="70"/>
      <c r="O44" s="67"/>
    </row>
    <row r="45" spans="1:23" ht="13.5" thickBot="1">
      <c r="A45" s="74">
        <f>-B41*D41*E41</f>
        <v>0</v>
      </c>
      <c r="B45" s="75">
        <f>-(D41^2)*E41</f>
        <v>0</v>
      </c>
      <c r="C45" s="75">
        <f>B41*D41*E41</f>
        <v>0</v>
      </c>
      <c r="D45" s="75">
        <f>E41*(D41^2)</f>
        <v>0</v>
      </c>
      <c r="E45" s="76"/>
      <c r="F45" s="88">
        <v>4</v>
      </c>
      <c r="L45" s="68"/>
      <c r="M45" s="69">
        <f>G137</f>
        <v>0.32516319641648639</v>
      </c>
      <c r="N45" s="70"/>
      <c r="O45" s="67"/>
    </row>
    <row r="46" spans="1:23" ht="13.5" thickBot="1">
      <c r="A46" s="99">
        <v>3</v>
      </c>
      <c r="B46" s="67">
        <v>4</v>
      </c>
      <c r="C46" s="67">
        <v>5</v>
      </c>
      <c r="D46" s="67">
        <v>6</v>
      </c>
      <c r="E46" s="98"/>
      <c r="F46" s="88"/>
      <c r="M46" s="77"/>
      <c r="O46" s="61"/>
    </row>
    <row r="47" spans="1:23">
      <c r="A47" s="78" t="s">
        <v>42</v>
      </c>
      <c r="B47" s="58">
        <f>(F27-D27)/C27</f>
        <v>1</v>
      </c>
      <c r="C47" s="79" t="s">
        <v>43</v>
      </c>
      <c r="D47" s="58">
        <f>(G27-E27)/C27</f>
        <v>0</v>
      </c>
      <c r="E47" s="65">
        <f>(H27*I27)/(C27*100)</f>
        <v>52500</v>
      </c>
      <c r="F47" s="88"/>
      <c r="M47" s="77"/>
    </row>
    <row r="48" spans="1:23">
      <c r="A48" s="66">
        <f>E47*(B47^2)</f>
        <v>52500</v>
      </c>
      <c r="B48" s="67">
        <f>E47*D47*B47</f>
        <v>0</v>
      </c>
      <c r="C48" s="67">
        <f>-A48</f>
        <v>-52500</v>
      </c>
      <c r="D48" s="67">
        <f>-B47*D47*E47</f>
        <v>0</v>
      </c>
      <c r="E48" s="68"/>
      <c r="F48" s="88">
        <v>3</v>
      </c>
      <c r="H48" s="60">
        <v>3</v>
      </c>
      <c r="I48" s="60">
        <v>4</v>
      </c>
      <c r="J48" s="60">
        <v>5</v>
      </c>
      <c r="K48" s="60">
        <v>6</v>
      </c>
      <c r="L48" s="68"/>
      <c r="M48" s="69">
        <f>G136</f>
        <v>-4.7619047619047866E-2</v>
      </c>
      <c r="N48" s="70"/>
    </row>
    <row r="49" spans="1:15" ht="15">
      <c r="A49" s="66">
        <f>E47*B47*D47</f>
        <v>0</v>
      </c>
      <c r="B49" s="67">
        <f>E47*(D47^2)</f>
        <v>0</v>
      </c>
      <c r="C49" s="67">
        <f>-B47*D47*E47</f>
        <v>0</v>
      </c>
      <c r="D49" s="67">
        <f>-(D47^2)*E47</f>
        <v>0</v>
      </c>
      <c r="E49" s="68">
        <v>2</v>
      </c>
      <c r="F49" s="88">
        <v>4</v>
      </c>
      <c r="G49" s="71" t="s">
        <v>61</v>
      </c>
      <c r="H49" s="60">
        <f>-B47*E47</f>
        <v>-52500</v>
      </c>
      <c r="I49" s="60">
        <f>-D47*E47</f>
        <v>0</v>
      </c>
      <c r="J49" s="60">
        <f>B47*E47</f>
        <v>52500</v>
      </c>
      <c r="K49" s="72">
        <f>D47*E47</f>
        <v>0</v>
      </c>
      <c r="L49" s="68"/>
      <c r="M49" s="69">
        <f>G137</f>
        <v>0.32516319641648639</v>
      </c>
      <c r="N49" s="101" t="s">
        <v>88</v>
      </c>
      <c r="O49" s="73">
        <f>INDEX(MMULT(H49:K49,M48:M51),1,1)</f>
        <v>-2500.0000000000132</v>
      </c>
    </row>
    <row r="50" spans="1:15">
      <c r="A50" s="66">
        <f>-(B47^2)*E47</f>
        <v>-52500</v>
      </c>
      <c r="B50" s="67">
        <f>-B47*D47*E47</f>
        <v>0</v>
      </c>
      <c r="C50" s="67">
        <f>E47*(B47^2)</f>
        <v>52500</v>
      </c>
      <c r="D50" s="67">
        <f>B47*D47*E47</f>
        <v>0</v>
      </c>
      <c r="E50" s="68"/>
      <c r="F50" s="88">
        <v>5</v>
      </c>
      <c r="L50" s="68"/>
      <c r="M50" s="69">
        <f>G138</f>
        <v>-9.5238095238095732E-2</v>
      </c>
      <c r="N50" s="70"/>
      <c r="O50" s="67"/>
    </row>
    <row r="51" spans="1:15" ht="13.5" thickBot="1">
      <c r="A51" s="74">
        <f>-B47*D47*E47</f>
        <v>0</v>
      </c>
      <c r="B51" s="75">
        <f>-(D47^2)*E47</f>
        <v>0</v>
      </c>
      <c r="C51" s="75">
        <f>B47*D47*E47</f>
        <v>0</v>
      </c>
      <c r="D51" s="75">
        <f>E47*(D47^2)</f>
        <v>0</v>
      </c>
      <c r="E51" s="76"/>
      <c r="F51" s="88">
        <v>6</v>
      </c>
      <c r="L51" s="68"/>
      <c r="M51" s="69">
        <f>G139</f>
        <v>0.55508829759487677</v>
      </c>
      <c r="N51" s="70"/>
      <c r="O51" s="67"/>
    </row>
    <row r="52" spans="1:15" ht="13.5" thickBot="1">
      <c r="A52" s="99">
        <v>5</v>
      </c>
      <c r="B52" s="67">
        <v>6</v>
      </c>
      <c r="C52" s="67">
        <v>7</v>
      </c>
      <c r="D52" s="67">
        <v>8</v>
      </c>
      <c r="E52" s="98"/>
      <c r="F52" s="88"/>
      <c r="M52" s="77"/>
    </row>
    <row r="53" spans="1:15">
      <c r="A53" s="62" t="s">
        <v>42</v>
      </c>
      <c r="B53" s="63">
        <f>(F28-D28)/C28</f>
        <v>1</v>
      </c>
      <c r="C53" s="64" t="s">
        <v>43</v>
      </c>
      <c r="D53" s="63">
        <f>(G28-E28)/C28</f>
        <v>0</v>
      </c>
      <c r="E53" s="65">
        <f>(H28*I28)/(C28*100)</f>
        <v>52500</v>
      </c>
      <c r="F53" s="88"/>
      <c r="M53" s="77"/>
    </row>
    <row r="54" spans="1:15">
      <c r="A54" s="66">
        <f>E53*(B53^2)</f>
        <v>52500</v>
      </c>
      <c r="B54" s="67">
        <f>E53*D53*B53</f>
        <v>0</v>
      </c>
      <c r="C54" s="67">
        <f>-A54</f>
        <v>-52500</v>
      </c>
      <c r="D54" s="67">
        <f>-B53*D53*E53</f>
        <v>0</v>
      </c>
      <c r="E54" s="68"/>
      <c r="F54" s="88">
        <v>5</v>
      </c>
      <c r="H54" s="60">
        <v>5</v>
      </c>
      <c r="I54" s="60">
        <v>6</v>
      </c>
      <c r="J54" s="60">
        <v>7</v>
      </c>
      <c r="K54" s="60">
        <v>8</v>
      </c>
      <c r="L54" s="68"/>
      <c r="M54" s="69">
        <f>G138</f>
        <v>-9.5238095238095732E-2</v>
      </c>
      <c r="N54" s="70"/>
    </row>
    <row r="55" spans="1:15" ht="15">
      <c r="A55" s="66">
        <f>E53*B53*D53</f>
        <v>0</v>
      </c>
      <c r="B55" s="67">
        <f>E53*(D53^2)</f>
        <v>0</v>
      </c>
      <c r="C55" s="67">
        <f>-B53*D53*E53</f>
        <v>0</v>
      </c>
      <c r="D55" s="67">
        <f>-(D53^2)*E53</f>
        <v>0</v>
      </c>
      <c r="E55" s="68">
        <v>3</v>
      </c>
      <c r="F55" s="88">
        <v>6</v>
      </c>
      <c r="G55" s="71" t="s">
        <v>62</v>
      </c>
      <c r="H55" s="60">
        <f>-B53*E53</f>
        <v>-52500</v>
      </c>
      <c r="I55" s="60">
        <f>-D53*E53</f>
        <v>0</v>
      </c>
      <c r="J55" s="60">
        <f>B53*E53</f>
        <v>52500</v>
      </c>
      <c r="K55" s="72">
        <f>D53*E53</f>
        <v>0</v>
      </c>
      <c r="L55" s="68"/>
      <c r="M55" s="69">
        <f>G139</f>
        <v>0.55508829759487677</v>
      </c>
      <c r="N55" s="101" t="s">
        <v>88</v>
      </c>
      <c r="O55" s="73">
        <f>INDEX(MMULT(H55:K55,M54:M57),1,1)</f>
        <v>-2500.0000000000064</v>
      </c>
    </row>
    <row r="56" spans="1:15">
      <c r="A56" s="66">
        <f>-(B53^2)*E53</f>
        <v>-52500</v>
      </c>
      <c r="B56" s="67">
        <f>-B53*D53*E53</f>
        <v>0</v>
      </c>
      <c r="C56" s="67">
        <f>E53*(B53^2)</f>
        <v>52500</v>
      </c>
      <c r="D56" s="67">
        <f>B53*D53*E53</f>
        <v>0</v>
      </c>
      <c r="E56" s="68"/>
      <c r="F56" s="88">
        <v>7</v>
      </c>
      <c r="L56" s="68"/>
      <c r="M56" s="69">
        <f>G140</f>
        <v>-0.14285714285714349</v>
      </c>
      <c r="N56" s="70"/>
      <c r="O56" s="67"/>
    </row>
    <row r="57" spans="1:15" ht="13.5" thickBot="1">
      <c r="A57" s="74">
        <f>-B53*D53*E53</f>
        <v>0</v>
      </c>
      <c r="B57" s="75">
        <f>-(D53^2)*E53</f>
        <v>0</v>
      </c>
      <c r="C57" s="75">
        <f>B53*D53*E53</f>
        <v>0</v>
      </c>
      <c r="D57" s="75">
        <f>E53*(D53^2)</f>
        <v>0</v>
      </c>
      <c r="E57" s="76"/>
      <c r="F57" s="88">
        <v>8</v>
      </c>
      <c r="L57" s="68"/>
      <c r="M57" s="69">
        <f>G141</f>
        <v>0.32516319641648633</v>
      </c>
      <c r="N57" s="70"/>
      <c r="O57" s="67"/>
    </row>
    <row r="58" spans="1:15" ht="13.5" thickBot="1">
      <c r="A58" s="99">
        <v>7</v>
      </c>
      <c r="B58" s="67">
        <v>8</v>
      </c>
      <c r="C58" s="67">
        <v>9</v>
      </c>
      <c r="D58" s="67">
        <v>10</v>
      </c>
      <c r="E58" s="98"/>
      <c r="F58" s="88"/>
      <c r="M58" s="77"/>
    </row>
    <row r="59" spans="1:15">
      <c r="A59" s="78" t="s">
        <v>42</v>
      </c>
      <c r="B59" s="58">
        <f>(F29-D29)/C29</f>
        <v>1</v>
      </c>
      <c r="C59" s="79" t="s">
        <v>43</v>
      </c>
      <c r="D59" s="58">
        <f>(G29-E29)/C29</f>
        <v>0</v>
      </c>
      <c r="E59" s="65">
        <f>(H29*I29)/(C29*100)</f>
        <v>52500</v>
      </c>
      <c r="F59" s="88"/>
      <c r="M59" s="77"/>
    </row>
    <row r="60" spans="1:15">
      <c r="A60" s="66">
        <f>E59*(B59^2)</f>
        <v>52500</v>
      </c>
      <c r="B60" s="67">
        <f>E59*D59*B59</f>
        <v>0</v>
      </c>
      <c r="C60" s="67">
        <f>-A60</f>
        <v>-52500</v>
      </c>
      <c r="D60" s="67">
        <f>-B59*D59*E59</f>
        <v>0</v>
      </c>
      <c r="E60" s="68"/>
      <c r="F60" s="88">
        <v>7</v>
      </c>
      <c r="H60" s="60">
        <v>7</v>
      </c>
      <c r="I60" s="60">
        <v>8</v>
      </c>
      <c r="J60" s="60">
        <v>9</v>
      </c>
      <c r="K60" s="60">
        <v>10</v>
      </c>
      <c r="L60" s="68"/>
      <c r="M60" s="69">
        <f>G140</f>
        <v>-0.14285714285714349</v>
      </c>
      <c r="N60" s="70"/>
      <c r="O60" s="67"/>
    </row>
    <row r="61" spans="1:15" ht="15">
      <c r="A61" s="66">
        <f>E59*B59*D59</f>
        <v>0</v>
      </c>
      <c r="B61" s="67">
        <f>E59*(D59^2)</f>
        <v>0</v>
      </c>
      <c r="C61" s="67">
        <f>-B59*D59*E59</f>
        <v>0</v>
      </c>
      <c r="D61" s="67">
        <f>-(D59^2)*E59</f>
        <v>0</v>
      </c>
      <c r="E61" s="68">
        <v>4</v>
      </c>
      <c r="F61" s="88">
        <v>8</v>
      </c>
      <c r="G61" s="71" t="s">
        <v>63</v>
      </c>
      <c r="H61" s="60">
        <f>-B59*E59</f>
        <v>-52500</v>
      </c>
      <c r="I61" s="60">
        <f>-D59*E59</f>
        <v>0</v>
      </c>
      <c r="J61" s="60">
        <f>B59*E59</f>
        <v>52500</v>
      </c>
      <c r="K61" s="72">
        <f>D59*E59</f>
        <v>0</v>
      </c>
      <c r="L61" s="68"/>
      <c r="M61" s="69">
        <f>G141</f>
        <v>0.32516319641648633</v>
      </c>
      <c r="N61" s="101" t="s">
        <v>88</v>
      </c>
      <c r="O61" s="73">
        <f>INDEX(MMULT(H61:K61,M60:M63),1,1)</f>
        <v>-2500.0000000000127</v>
      </c>
    </row>
    <row r="62" spans="1:15">
      <c r="A62" s="66">
        <f>-(B59^2)*E59</f>
        <v>-52500</v>
      </c>
      <c r="B62" s="67">
        <f>-B59*D59*E59</f>
        <v>0</v>
      </c>
      <c r="C62" s="67">
        <f>E59*(B59^2)</f>
        <v>52500</v>
      </c>
      <c r="D62" s="67">
        <f>B59*D59*E59</f>
        <v>0</v>
      </c>
      <c r="E62" s="68"/>
      <c r="F62" s="88">
        <v>9</v>
      </c>
      <c r="L62" s="68"/>
      <c r="M62" s="69">
        <f>G142</f>
        <v>-0.19047619047619135</v>
      </c>
      <c r="N62" s="70"/>
      <c r="O62" s="67"/>
    </row>
    <row r="63" spans="1:15" ht="13.5" thickBot="1">
      <c r="A63" s="74">
        <f>-B59*D59*E59</f>
        <v>0</v>
      </c>
      <c r="B63" s="75">
        <f>-(D59^2)*E59</f>
        <v>0</v>
      </c>
      <c r="C63" s="75">
        <f>B59*D59*E59</f>
        <v>0</v>
      </c>
      <c r="D63" s="75">
        <f>E59*(D59^2)</f>
        <v>0</v>
      </c>
      <c r="E63" s="76"/>
      <c r="F63" s="88">
        <v>10</v>
      </c>
      <c r="L63" s="68"/>
      <c r="M63" s="69">
        <v>0</v>
      </c>
      <c r="N63" s="70"/>
      <c r="O63" s="67"/>
    </row>
    <row r="64" spans="1:15" ht="13.5" thickBot="1">
      <c r="A64" s="99">
        <v>11</v>
      </c>
      <c r="B64" s="67">
        <v>12</v>
      </c>
      <c r="C64" s="67">
        <v>13</v>
      </c>
      <c r="D64" s="67">
        <v>14</v>
      </c>
      <c r="E64" s="98"/>
      <c r="F64" s="88"/>
      <c r="M64" s="77"/>
      <c r="O64" s="61"/>
    </row>
    <row r="65" spans="1:15">
      <c r="A65" s="62" t="s">
        <v>42</v>
      </c>
      <c r="B65" s="63">
        <f>(F30-D30)/C30</f>
        <v>1</v>
      </c>
      <c r="C65" s="64" t="s">
        <v>43</v>
      </c>
      <c r="D65" s="63">
        <f>(G30-E30)/C30</f>
        <v>0</v>
      </c>
      <c r="E65" s="65">
        <f>(H30*I30)/(C30*100)</f>
        <v>52500</v>
      </c>
      <c r="F65" s="88"/>
      <c r="M65" s="77"/>
    </row>
    <row r="66" spans="1:15">
      <c r="A66" s="66">
        <f>E65*(B65^2)</f>
        <v>52500</v>
      </c>
      <c r="B66" s="67">
        <f>E65*D65*B65</f>
        <v>0</v>
      </c>
      <c r="C66" s="67">
        <f>-A66</f>
        <v>-52500</v>
      </c>
      <c r="D66" s="67">
        <f>-B65*D65*E65</f>
        <v>0</v>
      </c>
      <c r="E66" s="68"/>
      <c r="F66" s="88">
        <v>11</v>
      </c>
      <c r="H66" s="60">
        <v>11</v>
      </c>
      <c r="I66" s="60">
        <v>12</v>
      </c>
      <c r="J66" s="60">
        <v>13</v>
      </c>
      <c r="K66" s="60">
        <v>14</v>
      </c>
      <c r="L66" s="68"/>
      <c r="M66" s="69">
        <f>G143</f>
        <v>-0.19047619047619127</v>
      </c>
      <c r="N66" s="70"/>
    </row>
    <row r="67" spans="1:15" ht="15">
      <c r="A67" s="66">
        <f>E65*B65*D65</f>
        <v>0</v>
      </c>
      <c r="B67" s="67">
        <f>E65*(D65^2)</f>
        <v>0</v>
      </c>
      <c r="C67" s="67">
        <f>-B65*D65*E65</f>
        <v>0</v>
      </c>
      <c r="D67" s="67">
        <f>-(D65^2)*E65</f>
        <v>0</v>
      </c>
      <c r="E67" s="68">
        <v>5</v>
      </c>
      <c r="F67" s="88">
        <v>12</v>
      </c>
      <c r="G67" s="71" t="s">
        <v>64</v>
      </c>
      <c r="H67" s="60">
        <f>-B65*E65</f>
        <v>-52500</v>
      </c>
      <c r="I67" s="60">
        <f>-D65*E65</f>
        <v>0</v>
      </c>
      <c r="J67" s="60">
        <f>B65*E65</f>
        <v>52500</v>
      </c>
      <c r="K67" s="72">
        <f>D65*E65</f>
        <v>0</v>
      </c>
      <c r="L67" s="68"/>
      <c r="M67" s="69">
        <f>G144</f>
        <v>0.32516319641648639</v>
      </c>
      <c r="N67" s="101" t="s">
        <v>88</v>
      </c>
      <c r="O67" s="73">
        <f>INDEX(MMULT(H67:K67,M66:M69),1,1)</f>
        <v>5000.0000000000109</v>
      </c>
    </row>
    <row r="68" spans="1:15">
      <c r="A68" s="66">
        <f>-(B65^2)*E65</f>
        <v>-52500</v>
      </c>
      <c r="B68" s="67">
        <f>-B65*D65*E65</f>
        <v>0</v>
      </c>
      <c r="C68" s="67">
        <f>E65*(B65^2)</f>
        <v>52500</v>
      </c>
      <c r="D68" s="67">
        <f>B65*D65*E65</f>
        <v>0</v>
      </c>
      <c r="E68" s="68"/>
      <c r="F68" s="88">
        <v>13</v>
      </c>
      <c r="L68" s="68"/>
      <c r="M68" s="69">
        <f>G145</f>
        <v>-9.523809523809583E-2</v>
      </c>
      <c r="N68" s="70"/>
      <c r="O68" s="67"/>
    </row>
    <row r="69" spans="1:15" ht="13.5" thickBot="1">
      <c r="A69" s="74">
        <f>-B65*D65*E65</f>
        <v>0</v>
      </c>
      <c r="B69" s="75">
        <f>-(D65^2)*E65</f>
        <v>0</v>
      </c>
      <c r="C69" s="75">
        <f>B65*D65*E65</f>
        <v>0</v>
      </c>
      <c r="D69" s="75">
        <f>E65*(D65^2)</f>
        <v>0</v>
      </c>
      <c r="E69" s="76"/>
      <c r="F69" s="88">
        <v>14</v>
      </c>
      <c r="L69" s="68"/>
      <c r="M69" s="69">
        <f>G146</f>
        <v>0.55508829759487677</v>
      </c>
      <c r="N69" s="70"/>
      <c r="O69" s="67"/>
    </row>
    <row r="70" spans="1:15" ht="13.5" thickBot="1">
      <c r="A70" s="99">
        <v>13</v>
      </c>
      <c r="B70" s="67">
        <v>14</v>
      </c>
      <c r="C70" s="67">
        <v>15</v>
      </c>
      <c r="D70" s="67">
        <v>16</v>
      </c>
      <c r="E70" s="98"/>
      <c r="F70" s="88"/>
      <c r="M70" s="77"/>
    </row>
    <row r="71" spans="1:15">
      <c r="A71" s="62" t="s">
        <v>42</v>
      </c>
      <c r="B71" s="63">
        <f>(F31-D31)/C31</f>
        <v>1</v>
      </c>
      <c r="C71" s="64" t="s">
        <v>43</v>
      </c>
      <c r="D71" s="63">
        <f>(G31-E31)/C31</f>
        <v>0</v>
      </c>
      <c r="E71" s="65">
        <f>(H31*I31)/(C31*100)</f>
        <v>52500</v>
      </c>
      <c r="F71" s="88"/>
      <c r="M71" s="77"/>
    </row>
    <row r="72" spans="1:15">
      <c r="A72" s="66">
        <f>E71*(B71^2)</f>
        <v>52500</v>
      </c>
      <c r="B72" s="67">
        <f>E71*D71*B71</f>
        <v>0</v>
      </c>
      <c r="C72" s="67">
        <f>-A72</f>
        <v>-52500</v>
      </c>
      <c r="D72" s="67">
        <f>-B71*D71*E71</f>
        <v>0</v>
      </c>
      <c r="E72" s="68"/>
      <c r="F72" s="88">
        <v>13</v>
      </c>
      <c r="H72" s="60">
        <v>13</v>
      </c>
      <c r="I72" s="60">
        <v>14</v>
      </c>
      <c r="J72" s="60">
        <v>15</v>
      </c>
      <c r="K72" s="60">
        <v>16</v>
      </c>
      <c r="L72" s="68"/>
      <c r="M72" s="69">
        <f>G145</f>
        <v>-9.523809523809583E-2</v>
      </c>
      <c r="N72" s="70"/>
    </row>
    <row r="73" spans="1:15" ht="15">
      <c r="A73" s="66">
        <f>E71*B71*D71</f>
        <v>0</v>
      </c>
      <c r="B73" s="67">
        <f>E71*(D71^2)</f>
        <v>0</v>
      </c>
      <c r="C73" s="67">
        <f>-B71*D71*E71</f>
        <v>0</v>
      </c>
      <c r="D73" s="67">
        <f>-(D71^2)*E71</f>
        <v>0</v>
      </c>
      <c r="E73" s="68">
        <v>6</v>
      </c>
      <c r="F73" s="88">
        <v>14</v>
      </c>
      <c r="G73" s="71" t="s">
        <v>65</v>
      </c>
      <c r="H73" s="60">
        <f>-B71*E71</f>
        <v>-52500</v>
      </c>
      <c r="I73" s="60">
        <f>-D71*E71</f>
        <v>0</v>
      </c>
      <c r="J73" s="60">
        <f>B71*E71</f>
        <v>52500</v>
      </c>
      <c r="K73" s="72">
        <f>D71*E71</f>
        <v>0</v>
      </c>
      <c r="L73" s="68"/>
      <c r="M73" s="69">
        <f>G146</f>
        <v>0.55508829759487677</v>
      </c>
      <c r="N73" s="101" t="s">
        <v>88</v>
      </c>
      <c r="O73" s="73">
        <f>INDEX(MMULT(H73:K73,M72:M75),1,1)</f>
        <v>5000.0000000000127</v>
      </c>
    </row>
    <row r="74" spans="1:15">
      <c r="A74" s="66">
        <f>-(B71^2)*E71</f>
        <v>-52500</v>
      </c>
      <c r="B74" s="67">
        <f>-B71*D71*E71</f>
        <v>0</v>
      </c>
      <c r="C74" s="67">
        <f>E71*(B71^2)</f>
        <v>52500</v>
      </c>
      <c r="D74" s="67">
        <f>B71*D71*E71</f>
        <v>0</v>
      </c>
      <c r="E74" s="68"/>
      <c r="F74" s="88">
        <v>15</v>
      </c>
      <c r="L74" s="68"/>
      <c r="M74" s="69">
        <f>G147</f>
        <v>-3.5165640717905237E-16</v>
      </c>
      <c r="N74" s="70"/>
      <c r="O74" s="67"/>
    </row>
    <row r="75" spans="1:15" ht="13.5" thickBot="1">
      <c r="A75" s="74">
        <f>-B71*D71*E71</f>
        <v>0</v>
      </c>
      <c r="B75" s="75">
        <f>-(D71^2)*E71</f>
        <v>0</v>
      </c>
      <c r="C75" s="75">
        <f>B71*D71*E71</f>
        <v>0</v>
      </c>
      <c r="D75" s="75">
        <f>E71*(D71^2)</f>
        <v>0</v>
      </c>
      <c r="E75" s="76"/>
      <c r="F75" s="88">
        <v>16</v>
      </c>
      <c r="L75" s="68"/>
      <c r="M75" s="69">
        <f>G148</f>
        <v>0.32516319641648633</v>
      </c>
      <c r="N75" s="70"/>
      <c r="O75" s="67"/>
    </row>
    <row r="76" spans="1:15" ht="13.5" thickBot="1">
      <c r="A76" s="99">
        <v>3</v>
      </c>
      <c r="B76" s="67">
        <v>4</v>
      </c>
      <c r="C76" s="67">
        <v>11</v>
      </c>
      <c r="D76" s="67">
        <v>12</v>
      </c>
      <c r="E76" s="61"/>
      <c r="F76" s="97"/>
      <c r="M76" s="77"/>
    </row>
    <row r="77" spans="1:15">
      <c r="A77" s="62" t="s">
        <v>42</v>
      </c>
      <c r="B77" s="63">
        <f>(F32-D32)/C32</f>
        <v>0</v>
      </c>
      <c r="C77" s="64" t="s">
        <v>43</v>
      </c>
      <c r="D77" s="63">
        <f>(G32-E32)/C32</f>
        <v>1</v>
      </c>
      <c r="E77" s="65">
        <f>(H32*I32)/(C32*100)</f>
        <v>52500</v>
      </c>
      <c r="F77" s="88"/>
      <c r="M77" s="77"/>
    </row>
    <row r="78" spans="1:15">
      <c r="A78" s="66">
        <f>E77*(B77^2)</f>
        <v>0</v>
      </c>
      <c r="B78" s="67">
        <f>E77*D77*B77</f>
        <v>0</v>
      </c>
      <c r="C78" s="67">
        <f>-A78</f>
        <v>0</v>
      </c>
      <c r="D78" s="67">
        <f>-B77*D77*E77</f>
        <v>0</v>
      </c>
      <c r="E78" s="68"/>
      <c r="F78" s="88">
        <v>3</v>
      </c>
      <c r="H78" s="60">
        <v>3</v>
      </c>
      <c r="I78" s="60">
        <v>4</v>
      </c>
      <c r="J78" s="60">
        <v>11</v>
      </c>
      <c r="K78" s="60">
        <v>12</v>
      </c>
      <c r="L78" s="68"/>
      <c r="M78" s="69">
        <f>G136</f>
        <v>-4.7619047619047866E-2</v>
      </c>
      <c r="N78" s="70"/>
    </row>
    <row r="79" spans="1:15" ht="15">
      <c r="A79" s="66">
        <f>E77*B77*D77</f>
        <v>0</v>
      </c>
      <c r="B79" s="67">
        <f>E77*(D77^2)</f>
        <v>52500</v>
      </c>
      <c r="C79" s="67">
        <f>-B77*D77*E77</f>
        <v>0</v>
      </c>
      <c r="D79" s="67">
        <f>-(D77^2)*E77</f>
        <v>-52500</v>
      </c>
      <c r="E79" s="68">
        <v>7</v>
      </c>
      <c r="F79" s="88">
        <v>4</v>
      </c>
      <c r="G79" s="71" t="s">
        <v>66</v>
      </c>
      <c r="H79" s="60">
        <f>-B77*E77</f>
        <v>0</v>
      </c>
      <c r="I79" s="60">
        <f>-D77*E77</f>
        <v>-52500</v>
      </c>
      <c r="J79" s="60">
        <f>B77*E77</f>
        <v>0</v>
      </c>
      <c r="K79" s="72">
        <f>D77*E77</f>
        <v>52500</v>
      </c>
      <c r="L79" s="68"/>
      <c r="M79" s="69">
        <f>G137</f>
        <v>0.32516319641648639</v>
      </c>
      <c r="N79" s="101" t="s">
        <v>88</v>
      </c>
      <c r="O79" s="73">
        <f>INDEX(MMULT(H79:K79,M78:M81),1,1)</f>
        <v>0</v>
      </c>
    </row>
    <row r="80" spans="1:15">
      <c r="A80" s="66">
        <f>-(B77^2)*E77</f>
        <v>0</v>
      </c>
      <c r="B80" s="67">
        <f>-B77*D77*E77</f>
        <v>0</v>
      </c>
      <c r="C80" s="67">
        <f>E77*(B77^2)</f>
        <v>0</v>
      </c>
      <c r="D80" s="67">
        <f>B77*D77*E77</f>
        <v>0</v>
      </c>
      <c r="E80" s="68"/>
      <c r="F80" s="88">
        <v>11</v>
      </c>
      <c r="L80" s="68"/>
      <c r="M80" s="69">
        <f>G143</f>
        <v>-0.19047619047619127</v>
      </c>
      <c r="N80" s="70"/>
      <c r="O80" s="67"/>
    </row>
    <row r="81" spans="1:15" ht="13.5" thickBot="1">
      <c r="A81" s="74">
        <f>-B77*D77*E77</f>
        <v>0</v>
      </c>
      <c r="B81" s="75">
        <f>-(D77^2)*E77</f>
        <v>-52500</v>
      </c>
      <c r="C81" s="75">
        <f>B77*D77*E77</f>
        <v>0</v>
      </c>
      <c r="D81" s="75">
        <f>E77*(D77^2)</f>
        <v>52500</v>
      </c>
      <c r="E81" s="76"/>
      <c r="F81" s="88">
        <v>12</v>
      </c>
      <c r="L81" s="68"/>
      <c r="M81" s="69">
        <f>G144</f>
        <v>0.32516319641648639</v>
      </c>
      <c r="N81" s="70"/>
      <c r="O81" s="67"/>
    </row>
    <row r="82" spans="1:15" ht="13.5" thickBot="1">
      <c r="A82" s="99">
        <v>5</v>
      </c>
      <c r="B82" s="67">
        <v>6</v>
      </c>
      <c r="C82" s="67">
        <v>13</v>
      </c>
      <c r="D82" s="67">
        <v>14</v>
      </c>
      <c r="E82" s="61"/>
      <c r="F82" s="97"/>
      <c r="M82" s="77"/>
    </row>
    <row r="83" spans="1:15">
      <c r="A83" s="62" t="s">
        <v>42</v>
      </c>
      <c r="B83" s="63">
        <f>(F33-D33)/C33</f>
        <v>0</v>
      </c>
      <c r="C83" s="64" t="s">
        <v>43</v>
      </c>
      <c r="D83" s="63">
        <f>(G33-E33)/C33</f>
        <v>1</v>
      </c>
      <c r="E83" s="65">
        <f>(H33*I33)/(C33*100)</f>
        <v>52500</v>
      </c>
      <c r="F83" s="88"/>
      <c r="M83" s="77"/>
    </row>
    <row r="84" spans="1:15">
      <c r="A84" s="66">
        <f>E83*(B83^2)</f>
        <v>0</v>
      </c>
      <c r="B84" s="67">
        <f>E83*D83*B83</f>
        <v>0</v>
      </c>
      <c r="C84" s="67">
        <f>-A84</f>
        <v>0</v>
      </c>
      <c r="D84" s="67">
        <f>-B83*D83*E83</f>
        <v>0</v>
      </c>
      <c r="E84" s="68"/>
      <c r="F84" s="88">
        <v>5</v>
      </c>
      <c r="H84" s="60">
        <v>5</v>
      </c>
      <c r="I84" s="60">
        <v>6</v>
      </c>
      <c r="J84" s="60">
        <v>13</v>
      </c>
      <c r="K84" s="60">
        <v>14</v>
      </c>
      <c r="L84" s="68"/>
      <c r="M84" s="69">
        <f>G138</f>
        <v>-9.5238095238095732E-2</v>
      </c>
      <c r="N84" s="70"/>
    </row>
    <row r="85" spans="1:15" ht="15">
      <c r="A85" s="66">
        <f>E83*B83*D83</f>
        <v>0</v>
      </c>
      <c r="B85" s="67">
        <f>E83*(D83^2)</f>
        <v>52500</v>
      </c>
      <c r="C85" s="67">
        <f>-B83*D83*E83</f>
        <v>0</v>
      </c>
      <c r="D85" s="67">
        <f>-(D83^2)*E83</f>
        <v>-52500</v>
      </c>
      <c r="E85" s="68">
        <v>8</v>
      </c>
      <c r="F85" s="88">
        <v>6</v>
      </c>
      <c r="G85" s="71" t="s">
        <v>67</v>
      </c>
      <c r="H85" s="60">
        <f>-B83*E83</f>
        <v>0</v>
      </c>
      <c r="I85" s="60">
        <f>-D83*E83</f>
        <v>-52500</v>
      </c>
      <c r="J85" s="60">
        <f>B83*E83</f>
        <v>0</v>
      </c>
      <c r="K85" s="72">
        <f>D83*E83</f>
        <v>52500</v>
      </c>
      <c r="L85" s="68"/>
      <c r="M85" s="69">
        <f>G139</f>
        <v>0.55508829759487677</v>
      </c>
      <c r="N85" s="101" t="s">
        <v>88</v>
      </c>
      <c r="O85" s="73">
        <f>INDEX(MMULT(H85:K85,M84:M87),1,1)</f>
        <v>0</v>
      </c>
    </row>
    <row r="86" spans="1:15">
      <c r="A86" s="66">
        <f>-(B83^2)*E83</f>
        <v>0</v>
      </c>
      <c r="B86" s="67">
        <f>-B83*D83*E83</f>
        <v>0</v>
      </c>
      <c r="C86" s="67">
        <f>E83*(B83^2)</f>
        <v>0</v>
      </c>
      <c r="D86" s="67">
        <f>B83*D83*E83</f>
        <v>0</v>
      </c>
      <c r="E86" s="68"/>
      <c r="F86" s="88">
        <v>13</v>
      </c>
      <c r="L86" s="68"/>
      <c r="M86" s="69">
        <f>G145</f>
        <v>-9.523809523809583E-2</v>
      </c>
      <c r="N86" s="70"/>
      <c r="O86" s="67"/>
    </row>
    <row r="87" spans="1:15" ht="13.5" thickBot="1">
      <c r="A87" s="74">
        <f>-B83*D83*E83</f>
        <v>0</v>
      </c>
      <c r="B87" s="75">
        <f>-(D83^2)*E83</f>
        <v>-52500</v>
      </c>
      <c r="C87" s="75">
        <f>B83*D83*E83</f>
        <v>0</v>
      </c>
      <c r="D87" s="75">
        <f>E83*(D83^2)</f>
        <v>52500</v>
      </c>
      <c r="E87" s="76"/>
      <c r="F87" s="88">
        <v>14</v>
      </c>
      <c r="L87" s="68"/>
      <c r="M87" s="69">
        <f>G146</f>
        <v>0.55508829759487677</v>
      </c>
      <c r="N87" s="70"/>
      <c r="O87" s="67"/>
    </row>
    <row r="88" spans="1:15" ht="13.5" thickBot="1">
      <c r="A88" s="99">
        <v>7</v>
      </c>
      <c r="B88" s="67">
        <v>8</v>
      </c>
      <c r="C88" s="67">
        <v>15</v>
      </c>
      <c r="D88" s="67">
        <v>16</v>
      </c>
      <c r="E88" s="98"/>
      <c r="F88" s="88"/>
      <c r="M88" s="77"/>
    </row>
    <row r="89" spans="1:15">
      <c r="A89" s="62" t="s">
        <v>42</v>
      </c>
      <c r="B89" s="63">
        <f>(F33-D33)/C33</f>
        <v>0</v>
      </c>
      <c r="C89" s="64" t="s">
        <v>43</v>
      </c>
      <c r="D89" s="63">
        <f>(G34-E34)/C34</f>
        <v>1</v>
      </c>
      <c r="E89" s="65">
        <f>(H34*I34)/(C34*100)</f>
        <v>52500</v>
      </c>
      <c r="F89" s="88"/>
      <c r="H89" s="60"/>
      <c r="M89" s="77"/>
    </row>
    <row r="90" spans="1:15">
      <c r="A90" s="66">
        <f>E89*(B89^2)</f>
        <v>0</v>
      </c>
      <c r="B90" s="67">
        <f>E89*D89*B89</f>
        <v>0</v>
      </c>
      <c r="C90" s="67">
        <f>-A90</f>
        <v>0</v>
      </c>
      <c r="D90" s="67">
        <f>-B89*D89*E89</f>
        <v>0</v>
      </c>
      <c r="E90" s="68"/>
      <c r="F90" s="88">
        <v>7</v>
      </c>
      <c r="H90" s="60">
        <v>7</v>
      </c>
      <c r="I90" s="60">
        <v>8</v>
      </c>
      <c r="J90" s="60">
        <v>15</v>
      </c>
      <c r="K90" s="60">
        <v>16</v>
      </c>
      <c r="L90" s="68"/>
      <c r="M90" s="69">
        <f>G140</f>
        <v>-0.14285714285714349</v>
      </c>
      <c r="N90" s="70"/>
    </row>
    <row r="91" spans="1:15" ht="15">
      <c r="A91" s="66">
        <f>E89*B89*D89</f>
        <v>0</v>
      </c>
      <c r="B91" s="67">
        <f>E89*(D89^2)</f>
        <v>52500</v>
      </c>
      <c r="C91" s="67">
        <f>-B89*D89*E89</f>
        <v>0</v>
      </c>
      <c r="D91" s="67">
        <f>-(D89^2)*E89</f>
        <v>-52500</v>
      </c>
      <c r="E91" s="68">
        <v>9</v>
      </c>
      <c r="F91" s="88">
        <v>8</v>
      </c>
      <c r="G91" s="71" t="s">
        <v>68</v>
      </c>
      <c r="H91" s="60">
        <f>-B89*E89</f>
        <v>0</v>
      </c>
      <c r="I91" s="60">
        <f>-D89*E89</f>
        <v>-52500</v>
      </c>
      <c r="J91" s="60">
        <f>B89*E89</f>
        <v>0</v>
      </c>
      <c r="K91" s="72">
        <f>D89*E89</f>
        <v>52500</v>
      </c>
      <c r="L91" s="68"/>
      <c r="M91" s="69">
        <f>G141</f>
        <v>0.32516319641648633</v>
      </c>
      <c r="N91" s="101" t="s">
        <v>88</v>
      </c>
      <c r="O91" s="73">
        <f>INDEX(MMULT(H91:K91,M90:M93),1,1)</f>
        <v>0</v>
      </c>
    </row>
    <row r="92" spans="1:15">
      <c r="A92" s="66">
        <f>-(B89^2)*E89</f>
        <v>0</v>
      </c>
      <c r="B92" s="67">
        <f>-B89*D89*E89</f>
        <v>0</v>
      </c>
      <c r="C92" s="67">
        <f>E89*(B89^2)</f>
        <v>0</v>
      </c>
      <c r="D92" s="67">
        <f>B89*D89*E89</f>
        <v>0</v>
      </c>
      <c r="E92" s="68"/>
      <c r="F92" s="88">
        <v>15</v>
      </c>
      <c r="L92" s="68"/>
      <c r="M92" s="69">
        <f>G147</f>
        <v>-3.5165640717905237E-16</v>
      </c>
      <c r="N92" s="70"/>
      <c r="O92" s="67"/>
    </row>
    <row r="93" spans="1:15" ht="13.5" thickBot="1">
      <c r="A93" s="74">
        <f>-B89*D89*E89</f>
        <v>0</v>
      </c>
      <c r="B93" s="75">
        <f>-(D89^2)*E89</f>
        <v>-52500</v>
      </c>
      <c r="C93" s="75">
        <f>B89*D89*E89</f>
        <v>0</v>
      </c>
      <c r="D93" s="75">
        <f>E89*(D89^2)</f>
        <v>52500</v>
      </c>
      <c r="E93" s="76"/>
      <c r="F93" s="88">
        <v>16</v>
      </c>
      <c r="L93" s="68"/>
      <c r="M93" s="69">
        <f>G148</f>
        <v>0.32516319641648633</v>
      </c>
      <c r="N93" s="70"/>
      <c r="O93" s="67"/>
    </row>
    <row r="94" spans="1:15" ht="13.5" thickBot="1">
      <c r="A94" s="99">
        <v>1</v>
      </c>
      <c r="B94" s="67">
        <v>2</v>
      </c>
      <c r="C94" s="67">
        <v>11</v>
      </c>
      <c r="D94" s="67">
        <v>12</v>
      </c>
      <c r="E94" s="98"/>
      <c r="F94" s="88"/>
      <c r="M94" s="77"/>
    </row>
    <row r="95" spans="1:15">
      <c r="A95" s="62" t="s">
        <v>42</v>
      </c>
      <c r="B95" s="63">
        <f>(F35-D35)/C35</f>
        <v>0.70710678118654746</v>
      </c>
      <c r="C95" s="64" t="s">
        <v>43</v>
      </c>
      <c r="D95" s="63">
        <f>(G35-E35)/C35</f>
        <v>0.70710678118654746</v>
      </c>
      <c r="E95" s="65">
        <f>(H35*I35)/(C35*100)</f>
        <v>37123.106012293742</v>
      </c>
      <c r="F95" s="88"/>
      <c r="M95" s="77"/>
    </row>
    <row r="96" spans="1:15">
      <c r="A96" s="66">
        <f>E95*(B95^2)</f>
        <v>18561.553006146867</v>
      </c>
      <c r="B96" s="67">
        <f>E95*D95*B95</f>
        <v>18561.553006146867</v>
      </c>
      <c r="C96" s="67">
        <f>-A96</f>
        <v>-18561.553006146867</v>
      </c>
      <c r="D96" s="67">
        <f>-B95*D95*E95</f>
        <v>-18561.553006146867</v>
      </c>
      <c r="E96" s="68"/>
      <c r="F96" s="88">
        <v>1</v>
      </c>
      <c r="H96" s="60">
        <v>1</v>
      </c>
      <c r="I96" s="60">
        <v>2</v>
      </c>
      <c r="J96" s="60">
        <v>11</v>
      </c>
      <c r="K96" s="60">
        <v>12</v>
      </c>
      <c r="L96" s="68"/>
      <c r="M96" s="69">
        <v>0</v>
      </c>
      <c r="N96" s="70"/>
    </row>
    <row r="97" spans="1:15" ht="15">
      <c r="A97" s="66">
        <f>E95*B95*D95</f>
        <v>18561.553006146867</v>
      </c>
      <c r="B97" s="67">
        <f>E95*(D95^2)</f>
        <v>18561.553006146867</v>
      </c>
      <c r="C97" s="67">
        <f>-B95*D95*E95</f>
        <v>-18561.553006146867</v>
      </c>
      <c r="D97" s="67">
        <f>-(D95^2)*E95</f>
        <v>-18561.553006146867</v>
      </c>
      <c r="E97" s="68">
        <v>10</v>
      </c>
      <c r="F97" s="88">
        <v>2</v>
      </c>
      <c r="G97" s="71" t="s">
        <v>69</v>
      </c>
      <c r="H97" s="60">
        <f>-B95*E95</f>
        <v>-26249.999999999996</v>
      </c>
      <c r="I97" s="60">
        <f>-D95*E95</f>
        <v>-26249.999999999996</v>
      </c>
      <c r="J97" s="60">
        <f>B95*E95</f>
        <v>26249.999999999996</v>
      </c>
      <c r="K97" s="72">
        <f>D95*E95</f>
        <v>26249.999999999996</v>
      </c>
      <c r="L97" s="68"/>
      <c r="M97" s="69">
        <v>0</v>
      </c>
      <c r="N97" s="101" t="s">
        <v>88</v>
      </c>
      <c r="O97" s="73">
        <f>INDEX(MMULT(H97:K97,M96:M99),1,1)</f>
        <v>3535.5339059327471</v>
      </c>
    </row>
    <row r="98" spans="1:15">
      <c r="A98" s="66">
        <f>-(B95^2)*E95</f>
        <v>-18561.553006146867</v>
      </c>
      <c r="B98" s="67">
        <f>-B95*D95*E95</f>
        <v>-18561.553006146867</v>
      </c>
      <c r="C98" s="67">
        <f>E95*(B95^2)</f>
        <v>18561.553006146867</v>
      </c>
      <c r="D98" s="67">
        <f>B95*D95*E95</f>
        <v>18561.553006146867</v>
      </c>
      <c r="E98" s="68"/>
      <c r="F98" s="88">
        <v>11</v>
      </c>
      <c r="L98" s="68"/>
      <c r="M98" s="69">
        <f>G143</f>
        <v>-0.19047619047619127</v>
      </c>
      <c r="N98" s="70"/>
      <c r="O98" s="67"/>
    </row>
    <row r="99" spans="1:15" ht="13.5" thickBot="1">
      <c r="A99" s="74">
        <f>-B95*D95*E95</f>
        <v>-18561.553006146867</v>
      </c>
      <c r="B99" s="75">
        <f>-(D95^2)*E95</f>
        <v>-18561.553006146867</v>
      </c>
      <c r="C99" s="75">
        <f>B95*D95*E95</f>
        <v>18561.553006146867</v>
      </c>
      <c r="D99" s="75">
        <f>E95*(D95^2)</f>
        <v>18561.553006146867</v>
      </c>
      <c r="E99" s="76"/>
      <c r="F99" s="88">
        <v>12</v>
      </c>
      <c r="L99" s="68"/>
      <c r="M99" s="69">
        <f>G144</f>
        <v>0.32516319641648639</v>
      </c>
      <c r="N99" s="70"/>
      <c r="O99" s="67"/>
    </row>
    <row r="100" spans="1:15" ht="13.5" thickBot="1">
      <c r="A100" s="99">
        <v>11</v>
      </c>
      <c r="B100" s="67">
        <v>12</v>
      </c>
      <c r="C100" s="67">
        <v>5</v>
      </c>
      <c r="D100" s="67">
        <v>6</v>
      </c>
      <c r="E100" s="98"/>
      <c r="F100" s="88"/>
      <c r="M100" s="77"/>
    </row>
    <row r="101" spans="1:15">
      <c r="A101" s="62" t="s">
        <v>42</v>
      </c>
      <c r="B101" s="63">
        <f>(F36-D36)/C36</f>
        <v>0.70710678118654746</v>
      </c>
      <c r="C101" s="64" t="s">
        <v>43</v>
      </c>
      <c r="D101" s="63">
        <f>(G36-E36)/C36</f>
        <v>-0.70710678118654746</v>
      </c>
      <c r="E101" s="65">
        <f>(H36*I36)/(C36*100)</f>
        <v>37123.106012293742</v>
      </c>
      <c r="F101" s="88"/>
      <c r="M101" s="77"/>
    </row>
    <row r="102" spans="1:15">
      <c r="A102" s="66">
        <f>E101*(B101^2)</f>
        <v>18561.553006146867</v>
      </c>
      <c r="B102" s="67">
        <f>E101*D101*B101</f>
        <v>-18561.553006146867</v>
      </c>
      <c r="C102" s="67">
        <f>-A102</f>
        <v>-18561.553006146867</v>
      </c>
      <c r="D102" s="67">
        <f>-B101*D101*E101</f>
        <v>18561.553006146867</v>
      </c>
      <c r="E102" s="68"/>
      <c r="F102" s="88">
        <v>11</v>
      </c>
      <c r="H102" s="60">
        <v>11</v>
      </c>
      <c r="I102" s="60">
        <v>12</v>
      </c>
      <c r="J102" s="60">
        <v>5</v>
      </c>
      <c r="K102" s="60">
        <v>6</v>
      </c>
      <c r="L102" s="68"/>
      <c r="M102" s="69">
        <f>G143</f>
        <v>-0.19047619047619127</v>
      </c>
      <c r="N102" s="70"/>
    </row>
    <row r="103" spans="1:15" ht="15">
      <c r="A103" s="66">
        <f>E101*B101*D101</f>
        <v>-18561.553006146867</v>
      </c>
      <c r="B103" s="67">
        <f>E101*(D101^2)</f>
        <v>18561.553006146867</v>
      </c>
      <c r="C103" s="67">
        <f>-B101*D101*E101</f>
        <v>18561.553006146867</v>
      </c>
      <c r="D103" s="67">
        <f>-(D101^2)*E101</f>
        <v>-18561.553006146867</v>
      </c>
      <c r="E103" s="68">
        <v>11</v>
      </c>
      <c r="F103" s="88">
        <v>12</v>
      </c>
      <c r="G103" s="71" t="s">
        <v>70</v>
      </c>
      <c r="H103" s="60">
        <f>-B101*E101</f>
        <v>-26249.999999999996</v>
      </c>
      <c r="I103" s="60">
        <f>-D101*E101</f>
        <v>26249.999999999996</v>
      </c>
      <c r="J103" s="60">
        <f>B101*E101</f>
        <v>26249.999999999996</v>
      </c>
      <c r="K103" s="72">
        <f>D101*E101</f>
        <v>-26249.999999999996</v>
      </c>
      <c r="L103" s="68"/>
      <c r="M103" s="69">
        <f>G144</f>
        <v>0.32516319641648639</v>
      </c>
      <c r="N103" s="101" t="s">
        <v>88</v>
      </c>
      <c r="O103" s="73">
        <f>INDEX(MMULT(H103:K103,M102:M105),1,1)</f>
        <v>-3535.533905932738</v>
      </c>
    </row>
    <row r="104" spans="1:15">
      <c r="A104" s="66">
        <f>-(B101^2)*E101</f>
        <v>-18561.553006146867</v>
      </c>
      <c r="B104" s="67">
        <f>-B101*D101*E101</f>
        <v>18561.553006146867</v>
      </c>
      <c r="C104" s="67">
        <f>E101*(B101^2)</f>
        <v>18561.553006146867</v>
      </c>
      <c r="D104" s="67">
        <f>B101*D101*E101</f>
        <v>-18561.553006146867</v>
      </c>
      <c r="E104" s="68"/>
      <c r="F104" s="88">
        <v>5</v>
      </c>
      <c r="L104" s="68"/>
      <c r="M104" s="69">
        <f>G138</f>
        <v>-9.5238095238095732E-2</v>
      </c>
      <c r="N104" s="70"/>
      <c r="O104" s="67"/>
    </row>
    <row r="105" spans="1:15" ht="13.5" thickBot="1">
      <c r="A105" s="74">
        <f>-B101*D101*E101</f>
        <v>18561.553006146867</v>
      </c>
      <c r="B105" s="75">
        <f>-(D101^2)*E101</f>
        <v>-18561.553006146867</v>
      </c>
      <c r="C105" s="75">
        <f>B101*D101*E101</f>
        <v>-18561.553006146867</v>
      </c>
      <c r="D105" s="75">
        <f>E101*(D101^2)</f>
        <v>18561.553006146867</v>
      </c>
      <c r="E105" s="76"/>
      <c r="F105" s="88">
        <v>6</v>
      </c>
      <c r="L105" s="68"/>
      <c r="M105" s="69">
        <f>G139</f>
        <v>0.55508829759487677</v>
      </c>
      <c r="N105" s="70"/>
      <c r="O105" s="67"/>
    </row>
    <row r="106" spans="1:15" ht="13.5" thickBot="1">
      <c r="A106" s="99">
        <v>5</v>
      </c>
      <c r="B106" s="67">
        <v>6</v>
      </c>
      <c r="C106" s="67">
        <v>15</v>
      </c>
      <c r="D106" s="67">
        <v>16</v>
      </c>
      <c r="E106" s="98"/>
      <c r="F106" s="88"/>
      <c r="M106" s="77"/>
    </row>
    <row r="107" spans="1:15">
      <c r="A107" s="62" t="s">
        <v>42</v>
      </c>
      <c r="B107" s="63">
        <f>(F37-D37)/C37</f>
        <v>0.70710678118654746</v>
      </c>
      <c r="C107" s="64" t="s">
        <v>43</v>
      </c>
      <c r="D107" s="63">
        <f>(G37-E37)/C37</f>
        <v>0.70710678118654746</v>
      </c>
      <c r="E107" s="65">
        <f>(H37*I37)/(C37*100)</f>
        <v>37123.106012293742</v>
      </c>
      <c r="F107" s="88"/>
      <c r="M107" s="77"/>
    </row>
    <row r="108" spans="1:15">
      <c r="A108" s="66">
        <f>E107*(B107^2)</f>
        <v>18561.553006146867</v>
      </c>
      <c r="B108" s="67">
        <f>E107*D107*B107</f>
        <v>18561.553006146867</v>
      </c>
      <c r="C108" s="67">
        <f>-A108</f>
        <v>-18561.553006146867</v>
      </c>
      <c r="D108" s="67">
        <f>-B107*D107*E107</f>
        <v>-18561.553006146867</v>
      </c>
      <c r="E108" s="68"/>
      <c r="F108" s="88">
        <v>5</v>
      </c>
      <c r="H108" s="60">
        <v>5</v>
      </c>
      <c r="I108" s="60">
        <v>6</v>
      </c>
      <c r="J108" s="60">
        <v>15</v>
      </c>
      <c r="K108" s="60">
        <v>16</v>
      </c>
      <c r="L108" s="68"/>
      <c r="M108" s="69">
        <f>G138</f>
        <v>-9.5238095238095732E-2</v>
      </c>
      <c r="N108" s="70"/>
    </row>
    <row r="109" spans="1:15" ht="15">
      <c r="A109" s="66">
        <f>E107*B107*D107</f>
        <v>18561.553006146867</v>
      </c>
      <c r="B109" s="67">
        <f>E107*(D107^2)</f>
        <v>18561.553006146867</v>
      </c>
      <c r="C109" s="67">
        <f>-B107*D107*E107</f>
        <v>-18561.553006146867</v>
      </c>
      <c r="D109" s="67">
        <f>-(D107^2)*E107</f>
        <v>-18561.553006146867</v>
      </c>
      <c r="E109" s="68">
        <v>12</v>
      </c>
      <c r="F109" s="88">
        <v>6</v>
      </c>
      <c r="G109" s="71" t="s">
        <v>71</v>
      </c>
      <c r="H109" s="60">
        <f>-B107*E107</f>
        <v>-26249.999999999996</v>
      </c>
      <c r="I109" s="60">
        <f>-D107*E107</f>
        <v>-26249.999999999996</v>
      </c>
      <c r="J109" s="60">
        <f>B107*E107</f>
        <v>26249.999999999996</v>
      </c>
      <c r="K109" s="72">
        <f>D107*E107</f>
        <v>26249.999999999996</v>
      </c>
      <c r="L109" s="68"/>
      <c r="M109" s="69">
        <f>G139</f>
        <v>0.55508829759487677</v>
      </c>
      <c r="N109" s="101" t="s">
        <v>88</v>
      </c>
      <c r="O109" s="73">
        <f>INDEX(MMULT(H109:K109,M108:M111),1,1)</f>
        <v>-3535.5339059327434</v>
      </c>
    </row>
    <row r="110" spans="1:15">
      <c r="A110" s="66">
        <f>-(B107^2)*E107</f>
        <v>-18561.553006146867</v>
      </c>
      <c r="B110" s="67">
        <f>-B107*D107*E107</f>
        <v>-18561.553006146867</v>
      </c>
      <c r="C110" s="67">
        <f>E107*(B107^2)</f>
        <v>18561.553006146867</v>
      </c>
      <c r="D110" s="67">
        <f>B107*D107*E107</f>
        <v>18561.553006146867</v>
      </c>
      <c r="E110" s="68"/>
      <c r="F110" s="88">
        <v>15</v>
      </c>
      <c r="L110" s="68"/>
      <c r="M110" s="69">
        <f>G147</f>
        <v>-3.5165640717905237E-16</v>
      </c>
      <c r="N110" s="70"/>
      <c r="O110" s="67"/>
    </row>
    <row r="111" spans="1:15" ht="13.5" thickBot="1">
      <c r="A111" s="74">
        <f>-B107*D107*E107</f>
        <v>-18561.553006146867</v>
      </c>
      <c r="B111" s="75">
        <f>-(D107^2)*E107</f>
        <v>-18561.553006146867</v>
      </c>
      <c r="C111" s="75">
        <f>B107*D107*E107</f>
        <v>18561.553006146867</v>
      </c>
      <c r="D111" s="75">
        <f>E107*(D107^2)</f>
        <v>18561.553006146867</v>
      </c>
      <c r="E111" s="76"/>
      <c r="F111" s="88">
        <v>16</v>
      </c>
      <c r="L111" s="68"/>
      <c r="M111" s="69">
        <f>G148</f>
        <v>0.32516319641648633</v>
      </c>
      <c r="N111" s="70"/>
      <c r="O111" s="67"/>
    </row>
    <row r="112" spans="1:15" ht="13.5" thickBot="1">
      <c r="A112" s="66">
        <v>15</v>
      </c>
      <c r="B112" s="67">
        <v>16</v>
      </c>
      <c r="C112" s="67">
        <v>9</v>
      </c>
      <c r="D112" s="67">
        <v>10</v>
      </c>
      <c r="E112" s="98"/>
      <c r="F112" s="88"/>
      <c r="M112" s="77"/>
    </row>
    <row r="113" spans="1:21">
      <c r="A113" s="62" t="s">
        <v>42</v>
      </c>
      <c r="B113" s="63">
        <f>(F38-D38)/C38</f>
        <v>0.70710678118654746</v>
      </c>
      <c r="C113" s="64" t="s">
        <v>43</v>
      </c>
      <c r="D113" s="63">
        <f>(G38-E38)/C38</f>
        <v>-0.70710678118654746</v>
      </c>
      <c r="E113" s="65">
        <f>(H38*I38)/(C38*100)</f>
        <v>37123.106012293742</v>
      </c>
      <c r="F113" s="88"/>
      <c r="M113" s="77"/>
    </row>
    <row r="114" spans="1:21">
      <c r="A114" s="66">
        <f>E113*(B113^2)</f>
        <v>18561.553006146867</v>
      </c>
      <c r="B114" s="67">
        <f>E113*D113*B113</f>
        <v>-18561.553006146867</v>
      </c>
      <c r="C114" s="67">
        <f>-A114</f>
        <v>-18561.553006146867</v>
      </c>
      <c r="D114" s="67">
        <f>-B113*D113*E113</f>
        <v>18561.553006146867</v>
      </c>
      <c r="E114" s="68"/>
      <c r="F114" s="88">
        <v>15</v>
      </c>
      <c r="H114" s="60">
        <v>15</v>
      </c>
      <c r="I114" s="60">
        <v>16</v>
      </c>
      <c r="J114" s="60">
        <v>9</v>
      </c>
      <c r="K114" s="60">
        <v>10</v>
      </c>
      <c r="L114" s="68"/>
      <c r="M114" s="69">
        <f>G147</f>
        <v>-3.5165640717905237E-16</v>
      </c>
      <c r="N114" s="70"/>
    </row>
    <row r="115" spans="1:21" ht="15">
      <c r="A115" s="66">
        <f>E113*B113*D113</f>
        <v>-18561.553006146867</v>
      </c>
      <c r="B115" s="67">
        <f>E113*(D113^2)</f>
        <v>18561.553006146867</v>
      </c>
      <c r="C115" s="67">
        <f>-B113*D113*E113</f>
        <v>18561.553006146867</v>
      </c>
      <c r="D115" s="67">
        <f>-(D113^2)*E113</f>
        <v>-18561.553006146867</v>
      </c>
      <c r="E115" s="68">
        <v>13</v>
      </c>
      <c r="F115" s="88">
        <v>16</v>
      </c>
      <c r="G115" s="71" t="s">
        <v>72</v>
      </c>
      <c r="H115" s="60">
        <f>-B113*E113</f>
        <v>-26249.999999999996</v>
      </c>
      <c r="I115" s="60">
        <f>-D113*E113</f>
        <v>26249.999999999996</v>
      </c>
      <c r="J115" s="60">
        <f>B113*E113</f>
        <v>26249.999999999996</v>
      </c>
      <c r="K115" s="72">
        <f>D113*E113</f>
        <v>-26249.999999999996</v>
      </c>
      <c r="L115" s="68"/>
      <c r="M115" s="69">
        <f>G148</f>
        <v>0.32516319641648633</v>
      </c>
      <c r="N115" s="101" t="s">
        <v>88</v>
      </c>
      <c r="O115" s="73">
        <f>INDEX(MMULT(H115:K115,M114:M117),1,1)</f>
        <v>3535.5339059327516</v>
      </c>
    </row>
    <row r="116" spans="1:21">
      <c r="A116" s="66">
        <f>-(B113^2)*E113</f>
        <v>-18561.553006146867</v>
      </c>
      <c r="B116" s="67">
        <f>-B113*D113*E113</f>
        <v>18561.553006146867</v>
      </c>
      <c r="C116" s="67">
        <f>E113*(B113^2)</f>
        <v>18561.553006146867</v>
      </c>
      <c r="D116" s="67">
        <f>B113*D113*E113</f>
        <v>-18561.553006146867</v>
      </c>
      <c r="E116" s="68"/>
      <c r="F116" s="88">
        <v>9</v>
      </c>
      <c r="L116" s="68"/>
      <c r="M116" s="69">
        <f>G142</f>
        <v>-0.19047619047619135</v>
      </c>
      <c r="N116" s="70"/>
      <c r="O116" s="67"/>
    </row>
    <row r="117" spans="1:21" ht="13.5" thickBot="1">
      <c r="A117" s="74">
        <f>-B113*D113*E113</f>
        <v>18561.553006146867</v>
      </c>
      <c r="B117" s="75">
        <f>-(D113^2)*E113</f>
        <v>-18561.553006146867</v>
      </c>
      <c r="C117" s="75">
        <f>B113*D113*E113</f>
        <v>-18561.553006146867</v>
      </c>
      <c r="D117" s="75">
        <f>E113*(D113^2)</f>
        <v>18561.553006146867</v>
      </c>
      <c r="E117" s="76"/>
      <c r="F117" s="88">
        <v>10</v>
      </c>
      <c r="L117" s="68"/>
      <c r="M117" s="69">
        <v>0</v>
      </c>
      <c r="N117" s="70"/>
      <c r="O117" s="67"/>
    </row>
    <row r="118" spans="1:21">
      <c r="B118" s="60">
        <v>1</v>
      </c>
      <c r="C118" s="60">
        <v>2</v>
      </c>
      <c r="D118" s="60">
        <v>10</v>
      </c>
      <c r="E118" s="60">
        <v>3</v>
      </c>
      <c r="F118" s="60">
        <v>4</v>
      </c>
      <c r="G118" s="60">
        <v>5</v>
      </c>
      <c r="H118" s="60">
        <v>6</v>
      </c>
      <c r="I118" s="60">
        <v>7</v>
      </c>
      <c r="J118" s="60">
        <v>8</v>
      </c>
      <c r="K118" s="60">
        <v>9</v>
      </c>
      <c r="L118" s="60">
        <v>11</v>
      </c>
      <c r="M118" s="60">
        <v>12</v>
      </c>
      <c r="N118" s="60">
        <v>13</v>
      </c>
      <c r="O118" s="60">
        <v>14</v>
      </c>
      <c r="P118" s="60">
        <v>15</v>
      </c>
      <c r="Q118" s="60">
        <v>16</v>
      </c>
    </row>
    <row r="119" spans="1:21">
      <c r="A119" s="68"/>
      <c r="B119" s="60">
        <f>A42+A96</f>
        <v>71061.55300614686</v>
      </c>
      <c r="C119" s="60">
        <f>B42+B96</f>
        <v>18561.553006146867</v>
      </c>
      <c r="D119" s="80">
        <v>0</v>
      </c>
      <c r="E119" s="60">
        <f>C42</f>
        <v>-52500</v>
      </c>
      <c r="F119" s="60">
        <f>D42</f>
        <v>0</v>
      </c>
      <c r="G119" s="60">
        <v>0</v>
      </c>
      <c r="H119" s="60">
        <v>0</v>
      </c>
      <c r="I119" s="60">
        <v>0</v>
      </c>
      <c r="J119" s="60">
        <v>0</v>
      </c>
      <c r="K119" s="60">
        <v>0</v>
      </c>
      <c r="L119" s="60">
        <f>C96</f>
        <v>-18561.553006146867</v>
      </c>
      <c r="M119" s="60">
        <f>D96</f>
        <v>-18561.553006146867</v>
      </c>
      <c r="N119" s="60">
        <v>0</v>
      </c>
      <c r="O119" s="60">
        <v>0</v>
      </c>
      <c r="P119" s="60">
        <v>0</v>
      </c>
      <c r="Q119" s="72">
        <v>0</v>
      </c>
      <c r="R119" s="87">
        <v>1</v>
      </c>
      <c r="S119" s="67">
        <v>0</v>
      </c>
      <c r="T119" s="81"/>
      <c r="U119" s="82" t="s">
        <v>44</v>
      </c>
    </row>
    <row r="120" spans="1:21">
      <c r="A120" s="68"/>
      <c r="B120" s="60">
        <f>A43+A97</f>
        <v>18561.553006146867</v>
      </c>
      <c r="C120" s="60">
        <f>B43+B97</f>
        <v>18561.553006146867</v>
      </c>
      <c r="D120" s="80">
        <v>0</v>
      </c>
      <c r="E120" s="60">
        <f>C43</f>
        <v>0</v>
      </c>
      <c r="F120" s="60">
        <f>D43</f>
        <v>0</v>
      </c>
      <c r="G120" s="60">
        <v>0</v>
      </c>
      <c r="H120" s="60">
        <v>0</v>
      </c>
      <c r="I120" s="60">
        <v>0</v>
      </c>
      <c r="J120" s="60">
        <v>0</v>
      </c>
      <c r="K120" s="60">
        <v>0</v>
      </c>
      <c r="L120" s="60">
        <f>C97</f>
        <v>-18561.553006146867</v>
      </c>
      <c r="M120" s="60">
        <f>D97</f>
        <v>-18561.553006146867</v>
      </c>
      <c r="N120" s="60">
        <v>0</v>
      </c>
      <c r="O120" s="60">
        <v>0</v>
      </c>
      <c r="P120" s="60">
        <v>0</v>
      </c>
      <c r="Q120" s="72">
        <v>0</v>
      </c>
      <c r="R120" s="87">
        <v>2</v>
      </c>
      <c r="S120" s="67">
        <v>0</v>
      </c>
      <c r="T120" s="81"/>
      <c r="U120" s="82" t="s">
        <v>45</v>
      </c>
    </row>
    <row r="121" spans="1:21" ht="13.5" thickBot="1">
      <c r="A121" s="68"/>
      <c r="B121" s="83">
        <v>0</v>
      </c>
      <c r="C121" s="84">
        <v>0</v>
      </c>
      <c r="D121" s="85">
        <f>D63+D117</f>
        <v>18561.553006146867</v>
      </c>
      <c r="E121" s="84">
        <v>0</v>
      </c>
      <c r="F121" s="84">
        <v>0</v>
      </c>
      <c r="G121" s="84">
        <v>0</v>
      </c>
      <c r="H121" s="84">
        <v>0</v>
      </c>
      <c r="I121" s="84">
        <f>A63</f>
        <v>0</v>
      </c>
      <c r="J121" s="84">
        <f>B63</f>
        <v>0</v>
      </c>
      <c r="K121" s="84">
        <f>C63+C117</f>
        <v>-18561.553006146867</v>
      </c>
      <c r="L121" s="84">
        <v>0</v>
      </c>
      <c r="M121" s="84">
        <v>0</v>
      </c>
      <c r="N121" s="84">
        <v>0</v>
      </c>
      <c r="O121" s="84">
        <v>0</v>
      </c>
      <c r="P121" s="84">
        <f>A117</f>
        <v>18561.553006146867</v>
      </c>
      <c r="Q121" s="86">
        <f>B117</f>
        <v>-18561.553006146867</v>
      </c>
      <c r="R121" s="87">
        <v>10</v>
      </c>
      <c r="S121" s="67">
        <v>0</v>
      </c>
      <c r="T121" s="81"/>
      <c r="U121" s="82" t="s">
        <v>46</v>
      </c>
    </row>
    <row r="122" spans="1:21">
      <c r="A122" s="68"/>
      <c r="B122" s="60">
        <f>A44</f>
        <v>-52500</v>
      </c>
      <c r="C122" s="60">
        <f>B44</f>
        <v>0</v>
      </c>
      <c r="D122" s="80">
        <v>0</v>
      </c>
      <c r="E122" s="60">
        <f>C44+A48+A78</f>
        <v>105000</v>
      </c>
      <c r="F122" s="60">
        <f>D44+B48</f>
        <v>0</v>
      </c>
      <c r="G122" s="60">
        <f>C48</f>
        <v>-52500</v>
      </c>
      <c r="H122" s="60">
        <f>D48</f>
        <v>0</v>
      </c>
      <c r="I122" s="60">
        <v>0</v>
      </c>
      <c r="J122" s="60">
        <v>0</v>
      </c>
      <c r="K122" s="60">
        <v>0</v>
      </c>
      <c r="L122" s="60">
        <f>C78</f>
        <v>0</v>
      </c>
      <c r="M122" s="60">
        <f>D78</f>
        <v>0</v>
      </c>
      <c r="N122" s="60">
        <v>0</v>
      </c>
      <c r="O122" s="60">
        <v>0</v>
      </c>
      <c r="P122" s="60">
        <v>0</v>
      </c>
      <c r="Q122" s="72">
        <v>0</v>
      </c>
      <c r="R122" s="87">
        <v>3</v>
      </c>
      <c r="S122" s="60" t="s">
        <v>47</v>
      </c>
      <c r="T122" s="81"/>
      <c r="U122" s="82">
        <f>T27*1000</f>
        <v>0</v>
      </c>
    </row>
    <row r="123" spans="1:21">
      <c r="A123" s="68"/>
      <c r="B123" s="60">
        <f>A45</f>
        <v>0</v>
      </c>
      <c r="C123" s="60">
        <f>B45</f>
        <v>0</v>
      </c>
      <c r="D123" s="80">
        <v>0</v>
      </c>
      <c r="E123" s="60">
        <f>C45+A49+A79</f>
        <v>0</v>
      </c>
      <c r="F123" s="60">
        <f>D45+B49+B79</f>
        <v>52500</v>
      </c>
      <c r="G123" s="60">
        <f>D48</f>
        <v>0</v>
      </c>
      <c r="H123" s="60">
        <f>D49</f>
        <v>0</v>
      </c>
      <c r="I123" s="60">
        <v>0</v>
      </c>
      <c r="J123" s="60">
        <v>0</v>
      </c>
      <c r="K123" s="60">
        <v>0</v>
      </c>
      <c r="L123" s="60">
        <f>C79</f>
        <v>0</v>
      </c>
      <c r="M123" s="60">
        <f>D79</f>
        <v>-52500</v>
      </c>
      <c r="N123" s="60">
        <v>0</v>
      </c>
      <c r="O123" s="60">
        <v>0</v>
      </c>
      <c r="P123" s="60">
        <v>0</v>
      </c>
      <c r="Q123" s="72">
        <v>0</v>
      </c>
      <c r="R123" s="87">
        <v>4</v>
      </c>
      <c r="S123" s="60" t="s">
        <v>48</v>
      </c>
      <c r="T123" s="81"/>
      <c r="U123" s="82">
        <f>U27*1000</f>
        <v>0</v>
      </c>
    </row>
    <row r="124" spans="1:21">
      <c r="A124" s="68"/>
      <c r="B124" s="60">
        <v>0</v>
      </c>
      <c r="C124" s="60">
        <v>0</v>
      </c>
      <c r="D124" s="80">
        <v>0</v>
      </c>
      <c r="E124" s="60">
        <f>A50</f>
        <v>-52500</v>
      </c>
      <c r="F124" s="60">
        <f>B50</f>
        <v>0</v>
      </c>
      <c r="G124" s="60">
        <f>C50+A54+A84+C104+A108</f>
        <v>142123.10601229372</v>
      </c>
      <c r="H124" s="60">
        <f>B56</f>
        <v>0</v>
      </c>
      <c r="I124" s="60">
        <f>C54</f>
        <v>-52500</v>
      </c>
      <c r="J124" s="60">
        <f>D54</f>
        <v>0</v>
      </c>
      <c r="K124" s="60">
        <v>0</v>
      </c>
      <c r="L124" s="60">
        <f>A104</f>
        <v>-18561.553006146867</v>
      </c>
      <c r="M124" s="60">
        <f>B104</f>
        <v>18561.553006146867</v>
      </c>
      <c r="N124" s="60">
        <f>C84</f>
        <v>0</v>
      </c>
      <c r="O124" s="60">
        <f>D84</f>
        <v>0</v>
      </c>
      <c r="P124" s="60">
        <f>C108</f>
        <v>-18561.553006146867</v>
      </c>
      <c r="Q124" s="72">
        <f>D108</f>
        <v>-18561.553006146867</v>
      </c>
      <c r="R124" s="87">
        <v>5</v>
      </c>
      <c r="S124" s="60" t="s">
        <v>49</v>
      </c>
      <c r="T124" s="81"/>
      <c r="U124" s="82">
        <f>T28*1000</f>
        <v>0</v>
      </c>
    </row>
    <row r="125" spans="1:21">
      <c r="A125" s="68"/>
      <c r="B125" s="60">
        <v>0</v>
      </c>
      <c r="C125" s="60">
        <v>0</v>
      </c>
      <c r="D125" s="80">
        <v>0</v>
      </c>
      <c r="E125" s="60">
        <f>A51</f>
        <v>0</v>
      </c>
      <c r="F125" s="60">
        <f>B51</f>
        <v>0</v>
      </c>
      <c r="G125" s="60">
        <f>C51+A55+A85+C105+A109</f>
        <v>0</v>
      </c>
      <c r="H125" s="60">
        <f>D51+B55+B85+D105+B109</f>
        <v>89623.10601229372</v>
      </c>
      <c r="I125" s="60">
        <f>C55</f>
        <v>0</v>
      </c>
      <c r="J125" s="60">
        <f>D55</f>
        <v>0</v>
      </c>
      <c r="K125" s="60">
        <v>0</v>
      </c>
      <c r="L125" s="60">
        <f>A105</f>
        <v>18561.553006146867</v>
      </c>
      <c r="M125" s="60">
        <f>B105</f>
        <v>-18561.553006146867</v>
      </c>
      <c r="N125" s="60">
        <f>C85</f>
        <v>0</v>
      </c>
      <c r="O125" s="60">
        <f>D85</f>
        <v>-52500</v>
      </c>
      <c r="P125" s="60">
        <f>C109</f>
        <v>-18561.553006146867</v>
      </c>
      <c r="Q125" s="72">
        <f>D109</f>
        <v>-18561.553006146867</v>
      </c>
      <c r="R125" s="87">
        <v>6</v>
      </c>
      <c r="S125" s="60" t="s">
        <v>50</v>
      </c>
      <c r="T125" s="81"/>
      <c r="U125" s="82">
        <f>U28*1000</f>
        <v>5000</v>
      </c>
    </row>
    <row r="126" spans="1:21">
      <c r="A126" s="68"/>
      <c r="B126" s="60">
        <v>0</v>
      </c>
      <c r="C126" s="60">
        <v>0</v>
      </c>
      <c r="D126" s="80">
        <f>D59</f>
        <v>0</v>
      </c>
      <c r="E126" s="60">
        <v>0</v>
      </c>
      <c r="F126" s="60">
        <v>0</v>
      </c>
      <c r="G126" s="60">
        <f>A56</f>
        <v>-52500</v>
      </c>
      <c r="H126" s="60">
        <v>0</v>
      </c>
      <c r="I126" s="60">
        <f>C56+A60+A90</f>
        <v>105000</v>
      </c>
      <c r="J126" s="60">
        <f>D56+B61+B90</f>
        <v>0</v>
      </c>
      <c r="K126" s="60">
        <f>C60</f>
        <v>-52500</v>
      </c>
      <c r="L126" s="60">
        <v>0</v>
      </c>
      <c r="M126" s="60">
        <v>0</v>
      </c>
      <c r="N126" s="60">
        <v>0</v>
      </c>
      <c r="O126" s="60">
        <v>0</v>
      </c>
      <c r="P126" s="60">
        <f>C90</f>
        <v>0</v>
      </c>
      <c r="Q126" s="72">
        <f>D90</f>
        <v>0</v>
      </c>
      <c r="R126" s="87">
        <v>7</v>
      </c>
      <c r="S126" s="60" t="s">
        <v>51</v>
      </c>
      <c r="T126" s="81"/>
      <c r="U126" s="82">
        <f>T29*1000</f>
        <v>0</v>
      </c>
    </row>
    <row r="127" spans="1:21">
      <c r="A127" s="68"/>
      <c r="B127" s="60">
        <v>0</v>
      </c>
      <c r="C127" s="60">
        <v>0</v>
      </c>
      <c r="D127" s="80">
        <f>D61</f>
        <v>0</v>
      </c>
      <c r="E127" s="60">
        <v>0</v>
      </c>
      <c r="F127" s="60">
        <v>0</v>
      </c>
      <c r="G127" s="60">
        <f>A57</f>
        <v>0</v>
      </c>
      <c r="H127" s="60">
        <f>B57</f>
        <v>0</v>
      </c>
      <c r="I127" s="60">
        <f>C57+A61+A91</f>
        <v>0</v>
      </c>
      <c r="J127" s="60">
        <f>D57+B61+B91</f>
        <v>52500</v>
      </c>
      <c r="K127" s="60">
        <f>C61</f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f>C91</f>
        <v>0</v>
      </c>
      <c r="Q127" s="72">
        <f>D91</f>
        <v>-52500</v>
      </c>
      <c r="R127" s="87">
        <v>8</v>
      </c>
      <c r="S127" s="60" t="s">
        <v>52</v>
      </c>
      <c r="T127" s="81"/>
      <c r="U127" s="82">
        <f>U29*1000</f>
        <v>0</v>
      </c>
    </row>
    <row r="128" spans="1:21">
      <c r="A128" s="68"/>
      <c r="B128" s="60">
        <v>0</v>
      </c>
      <c r="C128" s="60">
        <v>0</v>
      </c>
      <c r="D128" s="80">
        <f>D62+D116</f>
        <v>-18561.553006146867</v>
      </c>
      <c r="E128" s="60">
        <v>0</v>
      </c>
      <c r="F128" s="60">
        <v>0</v>
      </c>
      <c r="G128" s="60">
        <v>0</v>
      </c>
      <c r="H128" s="60">
        <v>0</v>
      </c>
      <c r="I128" s="60">
        <f>A62</f>
        <v>-52500</v>
      </c>
      <c r="J128" s="60">
        <f>B62</f>
        <v>0</v>
      </c>
      <c r="K128" s="60">
        <f>C62+C116</f>
        <v>71061.55300614686</v>
      </c>
      <c r="L128" s="60">
        <v>0</v>
      </c>
      <c r="M128" s="60">
        <v>0</v>
      </c>
      <c r="N128" s="60">
        <v>0</v>
      </c>
      <c r="O128" s="60">
        <v>0</v>
      </c>
      <c r="P128" s="60">
        <f>A116</f>
        <v>-18561.553006146867</v>
      </c>
      <c r="Q128" s="72">
        <f>B116</f>
        <v>18561.553006146867</v>
      </c>
      <c r="R128" s="87">
        <v>9</v>
      </c>
      <c r="S128" s="60" t="s">
        <v>53</v>
      </c>
      <c r="T128" s="81"/>
      <c r="U128" s="82">
        <f>T30*1000</f>
        <v>0</v>
      </c>
    </row>
    <row r="129" spans="1:21">
      <c r="A129" s="68"/>
      <c r="B129" s="60">
        <f>A98</f>
        <v>-18561.553006146867</v>
      </c>
      <c r="C129" s="60">
        <f>B98</f>
        <v>-18561.553006146867</v>
      </c>
      <c r="D129" s="80">
        <v>0</v>
      </c>
      <c r="E129" s="60">
        <f>A80</f>
        <v>0</v>
      </c>
      <c r="F129" s="60">
        <f>B80</f>
        <v>0</v>
      </c>
      <c r="G129" s="60">
        <f>C102</f>
        <v>-18561.553006146867</v>
      </c>
      <c r="H129" s="60">
        <f>D102</f>
        <v>18561.553006146867</v>
      </c>
      <c r="I129" s="60">
        <f>A63</f>
        <v>0</v>
      </c>
      <c r="J129" s="60">
        <v>0</v>
      </c>
      <c r="K129" s="60">
        <v>0</v>
      </c>
      <c r="L129" s="60">
        <f>A66+C80+C98+A102</f>
        <v>89623.10601229372</v>
      </c>
      <c r="M129" s="60">
        <f>B66+D80+D98+B102</f>
        <v>0</v>
      </c>
      <c r="N129" s="60">
        <f>C66</f>
        <v>-52500</v>
      </c>
      <c r="O129" s="60">
        <f>D66</f>
        <v>0</v>
      </c>
      <c r="P129" s="60">
        <v>0</v>
      </c>
      <c r="Q129" s="72">
        <v>0</v>
      </c>
      <c r="R129" s="87">
        <v>11</v>
      </c>
      <c r="S129" s="60" t="s">
        <v>54</v>
      </c>
      <c r="T129" s="81"/>
      <c r="U129" s="82">
        <f>T31*1000</f>
        <v>0</v>
      </c>
    </row>
    <row r="130" spans="1:21">
      <c r="A130" s="68"/>
      <c r="B130" s="60">
        <f>A99</f>
        <v>-18561.553006146867</v>
      </c>
      <c r="C130" s="60">
        <f>B99</f>
        <v>-18561.553006146867</v>
      </c>
      <c r="D130" s="80">
        <v>0</v>
      </c>
      <c r="E130" s="60">
        <f>A81</f>
        <v>0</v>
      </c>
      <c r="F130" s="60">
        <f>B81</f>
        <v>-52500</v>
      </c>
      <c r="G130" s="60">
        <f>C103</f>
        <v>18561.553006146867</v>
      </c>
      <c r="H130" s="60">
        <f>D103</f>
        <v>-18561.553006146867</v>
      </c>
      <c r="I130" s="60">
        <v>0</v>
      </c>
      <c r="J130" s="60">
        <v>0</v>
      </c>
      <c r="K130" s="60">
        <v>0</v>
      </c>
      <c r="L130" s="60">
        <f>A67+C81+C99+A103</f>
        <v>0</v>
      </c>
      <c r="M130" s="60">
        <f>B67+D81+D99+B103</f>
        <v>89623.10601229372</v>
      </c>
      <c r="N130" s="60">
        <f>C67</f>
        <v>0</v>
      </c>
      <c r="O130" s="60">
        <f>D67</f>
        <v>0</v>
      </c>
      <c r="P130" s="60">
        <v>0</v>
      </c>
      <c r="Q130" s="72">
        <v>0</v>
      </c>
      <c r="R130" s="87">
        <v>12</v>
      </c>
      <c r="S130" s="60" t="s">
        <v>55</v>
      </c>
      <c r="T130" s="81"/>
      <c r="U130" s="82">
        <f>U31*1000</f>
        <v>0</v>
      </c>
    </row>
    <row r="131" spans="1:21">
      <c r="A131" s="68"/>
      <c r="B131" s="60">
        <v>0</v>
      </c>
      <c r="C131" s="60">
        <v>0</v>
      </c>
      <c r="D131" s="80">
        <v>0</v>
      </c>
      <c r="E131" s="60">
        <v>0</v>
      </c>
      <c r="F131" s="60">
        <v>0</v>
      </c>
      <c r="G131" s="60">
        <f>A86</f>
        <v>0</v>
      </c>
      <c r="H131" s="60">
        <f>B86</f>
        <v>0</v>
      </c>
      <c r="I131" s="60">
        <v>0</v>
      </c>
      <c r="J131" s="60">
        <v>0</v>
      </c>
      <c r="K131" s="60">
        <v>0</v>
      </c>
      <c r="L131" s="60">
        <f>A68</f>
        <v>-52500</v>
      </c>
      <c r="M131" s="60">
        <f>B68</f>
        <v>0</v>
      </c>
      <c r="N131" s="60">
        <f>C68+A72+C86</f>
        <v>105000</v>
      </c>
      <c r="O131" s="60">
        <f>D68+B72+D86</f>
        <v>0</v>
      </c>
      <c r="P131" s="60">
        <f>C72</f>
        <v>-52500</v>
      </c>
      <c r="Q131" s="72">
        <f>D72</f>
        <v>0</v>
      </c>
      <c r="R131" s="87">
        <v>13</v>
      </c>
      <c r="S131" s="60" t="s">
        <v>56</v>
      </c>
      <c r="T131" s="81"/>
      <c r="U131" s="82">
        <f>T32*1000</f>
        <v>0</v>
      </c>
    </row>
    <row r="132" spans="1:21">
      <c r="A132" s="68"/>
      <c r="B132" s="60">
        <v>0</v>
      </c>
      <c r="C132" s="60">
        <v>0</v>
      </c>
      <c r="D132" s="80">
        <v>0</v>
      </c>
      <c r="E132" s="60">
        <v>0</v>
      </c>
      <c r="F132" s="60">
        <v>0</v>
      </c>
      <c r="G132" s="60">
        <f>A87</f>
        <v>0</v>
      </c>
      <c r="H132" s="60">
        <f>B87</f>
        <v>-52500</v>
      </c>
      <c r="I132" s="60">
        <v>0</v>
      </c>
      <c r="J132" s="60">
        <v>0</v>
      </c>
      <c r="K132" s="60">
        <v>0</v>
      </c>
      <c r="L132" s="60">
        <f>A69</f>
        <v>0</v>
      </c>
      <c r="M132" s="60">
        <f>B69</f>
        <v>0</v>
      </c>
      <c r="N132" s="60">
        <f>C69+A73+C87</f>
        <v>0</v>
      </c>
      <c r="O132" s="60">
        <f>D69+B73+D87</f>
        <v>52500</v>
      </c>
      <c r="P132" s="60">
        <f>C73</f>
        <v>0</v>
      </c>
      <c r="Q132" s="72">
        <f>D73</f>
        <v>0</v>
      </c>
      <c r="R132" s="87">
        <v>14</v>
      </c>
      <c r="S132" s="60" t="s">
        <v>57</v>
      </c>
      <c r="T132" s="81"/>
      <c r="U132" s="82">
        <f>U32*1000</f>
        <v>0</v>
      </c>
    </row>
    <row r="133" spans="1:21">
      <c r="A133" s="68"/>
      <c r="B133" s="60">
        <v>0</v>
      </c>
      <c r="C133" s="60">
        <v>0</v>
      </c>
      <c r="D133" s="80">
        <f>D114</f>
        <v>18561.553006146867</v>
      </c>
      <c r="E133" s="60">
        <v>0</v>
      </c>
      <c r="F133" s="60">
        <v>0</v>
      </c>
      <c r="G133" s="60">
        <f>A110</f>
        <v>-18561.553006146867</v>
      </c>
      <c r="H133" s="60">
        <f>B110</f>
        <v>-18561.553006146867</v>
      </c>
      <c r="I133" s="60">
        <f>A92</f>
        <v>0</v>
      </c>
      <c r="J133" s="60">
        <f>B92</f>
        <v>0</v>
      </c>
      <c r="K133" s="60">
        <f>C114</f>
        <v>-18561.553006146867</v>
      </c>
      <c r="L133" s="60">
        <v>0</v>
      </c>
      <c r="M133" s="60">
        <v>0</v>
      </c>
      <c r="N133" s="60">
        <f>A74</f>
        <v>-52500</v>
      </c>
      <c r="O133" s="60">
        <f>B74</f>
        <v>0</v>
      </c>
      <c r="P133" s="60">
        <f>C74+C92+C110+A114</f>
        <v>89623.10601229372</v>
      </c>
      <c r="Q133" s="72">
        <f>D74+D110+B114</f>
        <v>0</v>
      </c>
      <c r="R133" s="87">
        <v>15</v>
      </c>
      <c r="S133" s="60" t="s">
        <v>58</v>
      </c>
      <c r="T133" s="81"/>
      <c r="U133" s="82">
        <f>T33*1000</f>
        <v>0</v>
      </c>
    </row>
    <row r="134" spans="1:21">
      <c r="A134" s="68"/>
      <c r="B134" s="60">
        <v>0</v>
      </c>
      <c r="C134" s="60">
        <v>0</v>
      </c>
      <c r="D134" s="80">
        <f>D115</f>
        <v>-18561.553006146867</v>
      </c>
      <c r="E134" s="60">
        <v>0</v>
      </c>
      <c r="F134" s="60">
        <v>0</v>
      </c>
      <c r="G134" s="60">
        <f>A111</f>
        <v>-18561.553006146867</v>
      </c>
      <c r="H134" s="60">
        <f>B111</f>
        <v>-18561.553006146867</v>
      </c>
      <c r="I134" s="60">
        <f>A93</f>
        <v>0</v>
      </c>
      <c r="J134" s="60">
        <f>B93</f>
        <v>-52500</v>
      </c>
      <c r="K134" s="60">
        <f>C115</f>
        <v>18561.553006146867</v>
      </c>
      <c r="L134" s="60">
        <v>0</v>
      </c>
      <c r="M134" s="60">
        <v>0</v>
      </c>
      <c r="N134" s="60">
        <f>A75</f>
        <v>0</v>
      </c>
      <c r="O134" s="60">
        <f>B75</f>
        <v>0</v>
      </c>
      <c r="P134" s="60">
        <f>C75+C93+C111+A115</f>
        <v>0</v>
      </c>
      <c r="Q134" s="72">
        <f>D75+D93+D111+B115</f>
        <v>89623.10601229372</v>
      </c>
      <c r="R134" s="87">
        <v>16</v>
      </c>
      <c r="S134" s="60" t="s">
        <v>59</v>
      </c>
      <c r="T134" s="81"/>
      <c r="U134" s="82">
        <f>U33*1000</f>
        <v>0</v>
      </c>
    </row>
    <row r="136" spans="1:21">
      <c r="D136" s="68"/>
      <c r="E136" s="72" t="s">
        <v>47</v>
      </c>
      <c r="F136" s="81"/>
      <c r="G136" s="69">
        <f>(INDEX(MMULT(MINVERSE(E122:Q134),(U122:U134)),1,1))</f>
        <v>-4.7619047619047866E-2</v>
      </c>
    </row>
    <row r="137" spans="1:21">
      <c r="D137" s="68"/>
      <c r="E137" s="72" t="s">
        <v>48</v>
      </c>
      <c r="F137" s="81"/>
      <c r="G137" s="69">
        <f>(INDEX(MMULT(MINVERSE(E122:Q134),(U122:U134)),2,1))</f>
        <v>0.32516319641648639</v>
      </c>
    </row>
    <row r="138" spans="1:21">
      <c r="D138" s="68"/>
      <c r="E138" s="72" t="s">
        <v>49</v>
      </c>
      <c r="F138" s="81"/>
      <c r="G138" s="69">
        <f>(INDEX(MMULT(MINVERSE(E122:Q134),(U122:U134)),3,1))</f>
        <v>-9.5238095238095732E-2</v>
      </c>
    </row>
    <row r="139" spans="1:21">
      <c r="D139" s="68"/>
      <c r="E139" s="72" t="s">
        <v>50</v>
      </c>
      <c r="F139" s="81"/>
      <c r="G139" s="69">
        <f>(INDEX(MMULT(MINVERSE(E122:Q134),(U122:U134)),4,1))</f>
        <v>0.55508829759487677</v>
      </c>
    </row>
    <row r="140" spans="1:21">
      <c r="D140" s="68"/>
      <c r="E140" s="72" t="s">
        <v>51</v>
      </c>
      <c r="F140" s="81"/>
      <c r="G140" s="69">
        <f>(INDEX(MMULT(MINVERSE(E122:Q134),(U122:U134)),5,1))</f>
        <v>-0.14285714285714349</v>
      </c>
    </row>
    <row r="141" spans="1:21">
      <c r="D141" s="68"/>
      <c r="E141" s="72" t="s">
        <v>52</v>
      </c>
      <c r="F141" s="81"/>
      <c r="G141" s="69">
        <f>(INDEX(MMULT(MINVERSE(E122:Q134),(U122:U134)),6,1))</f>
        <v>0.32516319641648633</v>
      </c>
      <c r="H141" s="81"/>
      <c r="I141" s="82" t="s">
        <v>44</v>
      </c>
      <c r="J141" s="81"/>
      <c r="K141" s="82">
        <f>ROUND(INDEX(MMULT(E119:Q121,G136:G148),1,1)-T26,3)</f>
        <v>0</v>
      </c>
    </row>
    <row r="142" spans="1:21">
      <c r="D142" s="68"/>
      <c r="E142" s="72" t="s">
        <v>53</v>
      </c>
      <c r="F142" s="81"/>
      <c r="G142" s="69">
        <f>(INDEX(MMULT(MINVERSE(E122:Q134),(U122:U134)),7,1))</f>
        <v>-0.19047619047619135</v>
      </c>
      <c r="H142" s="81"/>
      <c r="I142" s="82" t="s">
        <v>45</v>
      </c>
      <c r="J142" s="81"/>
      <c r="K142" s="82">
        <f>ROUND(INDEX(MMULT(E119:Q121,G136:G148),2,1)-U26,3)</f>
        <v>-2500</v>
      </c>
    </row>
    <row r="143" spans="1:21">
      <c r="D143" s="68"/>
      <c r="E143" s="72" t="s">
        <v>54</v>
      </c>
      <c r="F143" s="81"/>
      <c r="G143" s="69">
        <f>(INDEX(MMULT(MINVERSE(E122:Q134),(U122:U134)),8,1))</f>
        <v>-0.19047619047619127</v>
      </c>
      <c r="H143" s="81"/>
      <c r="I143" s="82" t="s">
        <v>46</v>
      </c>
      <c r="J143" s="81"/>
      <c r="K143" s="82">
        <f>ROUND(INDEX(MMULT(E119:Q121,G136:G148),3,1)-U30,3)</f>
        <v>-2500</v>
      </c>
    </row>
    <row r="144" spans="1:21">
      <c r="D144" s="68"/>
      <c r="E144" s="72" t="s">
        <v>55</v>
      </c>
      <c r="F144" s="81"/>
      <c r="G144" s="69">
        <f>(INDEX(MMULT(MINVERSE(E122:Q134),(U122:U134)),9,1))</f>
        <v>0.32516319641648639</v>
      </c>
    </row>
    <row r="145" spans="4:7">
      <c r="D145" s="68"/>
      <c r="E145" s="72" t="s">
        <v>56</v>
      </c>
      <c r="F145" s="81"/>
      <c r="G145" s="69">
        <f>(INDEX(MMULT(MINVERSE(E122:Q134),(U122:U134)),10,1))</f>
        <v>-9.523809523809583E-2</v>
      </c>
    </row>
    <row r="146" spans="4:7">
      <c r="D146" s="68"/>
      <c r="E146" s="72" t="s">
        <v>57</v>
      </c>
      <c r="F146" s="81"/>
      <c r="G146" s="69">
        <f>(INDEX(MMULT(MINVERSE(E122:Q134),(U122:U134)),11,1))</f>
        <v>0.55508829759487677</v>
      </c>
    </row>
    <row r="147" spans="4:7">
      <c r="D147" s="68"/>
      <c r="E147" s="72" t="s">
        <v>58</v>
      </c>
      <c r="F147" s="81"/>
      <c r="G147" s="69">
        <f>(INDEX(MMULT(MINVERSE(E122:Q134),(U122:U134)),12,1))</f>
        <v>-3.5165640717905237E-16</v>
      </c>
    </row>
    <row r="148" spans="4:7">
      <c r="D148" s="68"/>
      <c r="E148" s="72" t="s">
        <v>59</v>
      </c>
      <c r="F148" s="81"/>
      <c r="G148" s="69">
        <f>(INDEX(MMULT(MINVERSE(E122:Q134),(U122:U134)),13,1))</f>
        <v>0.32516319641648633</v>
      </c>
    </row>
    <row r="149" spans="4:7">
      <c r="E149" s="61"/>
      <c r="F149" s="61"/>
    </row>
  </sheetData>
  <sheetProtection password="CADA" sheet="1" objects="1" scenarios="1"/>
  <mergeCells count="10">
    <mergeCell ref="O24:O25"/>
    <mergeCell ref="B24:B25"/>
    <mergeCell ref="C24:C25"/>
    <mergeCell ref="H24:H25"/>
    <mergeCell ref="K24:K25"/>
    <mergeCell ref="L24:L25"/>
    <mergeCell ref="J24:J25"/>
    <mergeCell ref="I24:I25"/>
    <mergeCell ref="D24:E24"/>
    <mergeCell ref="F24:G24"/>
  </mergeCells>
  <conditionalFormatting sqref="N37">
    <cfRule type="cellIs" dxfId="64" priority="69" operator="equal">
      <formula>IF($L$37&gt;$M$37,$N$37)</formula>
    </cfRule>
  </conditionalFormatting>
  <conditionalFormatting sqref="N38">
    <cfRule type="cellIs" dxfId="63" priority="68" operator="equal">
      <formula>IF($L$38&gt;$M$38,$N$38)</formula>
    </cfRule>
  </conditionalFormatting>
  <conditionalFormatting sqref="N26">
    <cfRule type="cellIs" dxfId="62" priority="67" operator="equal">
      <formula>IF($L$26&gt;$M$26,$N$26)</formula>
    </cfRule>
  </conditionalFormatting>
  <conditionalFormatting sqref="N27">
    <cfRule type="cellIs" dxfId="61" priority="66" operator="equal">
      <formula>IF($L$27&gt;$M$27,$N$27)</formula>
    </cfRule>
  </conditionalFormatting>
  <conditionalFormatting sqref="N28">
    <cfRule type="cellIs" dxfId="60" priority="65" operator="equal">
      <formula>IF($L$28&gt;$M$28,$N$28)</formula>
    </cfRule>
  </conditionalFormatting>
  <conditionalFormatting sqref="N29">
    <cfRule type="cellIs" dxfId="59" priority="64" operator="equal">
      <formula>IF($L$29&gt;$M$29,$N$29)</formula>
    </cfRule>
  </conditionalFormatting>
  <conditionalFormatting sqref="N30">
    <cfRule type="cellIs" dxfId="58" priority="63" operator="equal">
      <formula>IF($L$30&gt;$M$30,$N$30)</formula>
    </cfRule>
  </conditionalFormatting>
  <conditionalFormatting sqref="N31">
    <cfRule type="cellIs" dxfId="57" priority="62" operator="equal">
      <formula>IF($L$31&gt;$M$31,$N$31)</formula>
    </cfRule>
  </conditionalFormatting>
  <conditionalFormatting sqref="N32">
    <cfRule type="cellIs" dxfId="56" priority="61" operator="equal">
      <formula>IF($L$32&gt;$M$32,$N$32)</formula>
    </cfRule>
  </conditionalFormatting>
  <conditionalFormatting sqref="N33">
    <cfRule type="cellIs" dxfId="55" priority="60" operator="equal">
      <formula>IF($L$33&gt;$M$33,$N$33)</formula>
    </cfRule>
  </conditionalFormatting>
  <conditionalFormatting sqref="N34">
    <cfRule type="cellIs" dxfId="54" priority="59" operator="equal">
      <formula>IF($L$34&gt;$M$34,$N$34)</formula>
    </cfRule>
  </conditionalFormatting>
  <conditionalFormatting sqref="N35">
    <cfRule type="cellIs" dxfId="53" priority="58" operator="equal">
      <formula>IF($L$35&gt;$M$35,$N$35)</formula>
    </cfRule>
  </conditionalFormatting>
  <conditionalFormatting sqref="N36">
    <cfRule type="cellIs" dxfId="52" priority="57" operator="equal">
      <formula>IF($L$36&gt;$M$36,$N$36)</formula>
    </cfRule>
  </conditionalFormatting>
  <conditionalFormatting sqref="O26">
    <cfRule type="cellIs" dxfId="51" priority="56" operator="equal">
      <formula>IF($L$26&gt;$M$26,$O$26)</formula>
    </cfRule>
  </conditionalFormatting>
  <conditionalFormatting sqref="O27">
    <cfRule type="cellIs" dxfId="50" priority="55" operator="equal">
      <formula>IF($L$27&gt;$M$27,$O$27)</formula>
    </cfRule>
  </conditionalFormatting>
  <conditionalFormatting sqref="O28">
    <cfRule type="cellIs" dxfId="49" priority="54" operator="equal">
      <formula>IF($L$28&gt;$M$28,$O$28)</formula>
    </cfRule>
  </conditionalFormatting>
  <conditionalFormatting sqref="O29">
    <cfRule type="cellIs" dxfId="48" priority="53" operator="equal">
      <formula>IF($L$29&gt;$M$29,$O$29)</formula>
    </cfRule>
  </conditionalFormatting>
  <conditionalFormatting sqref="O30">
    <cfRule type="cellIs" dxfId="47" priority="52" operator="equal">
      <formula>IF($L$30&gt;$M$30,$O$30)</formula>
    </cfRule>
  </conditionalFormatting>
  <conditionalFormatting sqref="O31">
    <cfRule type="cellIs" dxfId="46" priority="51" operator="equal">
      <formula>IF($L$31&gt;$M$31,$O$31)</formula>
    </cfRule>
  </conditionalFormatting>
  <conditionalFormatting sqref="O32">
    <cfRule type="cellIs" dxfId="45" priority="50" operator="equal">
      <formula>IF($L$32&gt;$M$32,$O$32)</formula>
    </cfRule>
  </conditionalFormatting>
  <conditionalFormatting sqref="O33">
    <cfRule type="cellIs" dxfId="44" priority="49" operator="equal">
      <formula>IF($L$33&gt;$M$33,$O$33)</formula>
    </cfRule>
  </conditionalFormatting>
  <conditionalFormatting sqref="O34">
    <cfRule type="cellIs" dxfId="43" priority="48" operator="equal">
      <formula>IF($L$34&gt;$M$34,$O$34)</formula>
    </cfRule>
  </conditionalFormatting>
  <conditionalFormatting sqref="O35">
    <cfRule type="cellIs" dxfId="42" priority="47" operator="equal">
      <formula>IF($L$35&gt;$M$35,$O$35)</formula>
    </cfRule>
  </conditionalFormatting>
  <conditionalFormatting sqref="O36">
    <cfRule type="cellIs" dxfId="41" priority="46" operator="equal">
      <formula>IF($L$36&gt;$M$36,$O$36)</formula>
    </cfRule>
  </conditionalFormatting>
  <conditionalFormatting sqref="O37">
    <cfRule type="cellIs" dxfId="40" priority="45" operator="equal">
      <formula>IF($L$37&gt;$M$37,$O$37)</formula>
    </cfRule>
  </conditionalFormatting>
  <conditionalFormatting sqref="O38">
    <cfRule type="cellIs" dxfId="39" priority="44" operator="equal">
      <formula>IF($L$38&gt;$M$38,$O$38)</formula>
    </cfRule>
  </conditionalFormatting>
  <conditionalFormatting sqref="K26">
    <cfRule type="cellIs" dxfId="38" priority="43" operator="equal">
      <formula>IF($K$26&gt;0,$K$26,)</formula>
    </cfRule>
    <cfRule type="cellIs" dxfId="37" priority="42" operator="equal">
      <formula>IF($K$26&lt;0,$K$26,)</formula>
    </cfRule>
    <cfRule type="cellIs" dxfId="36" priority="41" operator="equal">
      <formula>IF($K$26=0,$K$26,)</formula>
    </cfRule>
  </conditionalFormatting>
  <conditionalFormatting sqref="K27">
    <cfRule type="cellIs" dxfId="35" priority="38" stopIfTrue="1" operator="equal">
      <formula>IF($K$27=0,$K$27,)</formula>
    </cfRule>
    <cfRule type="cellIs" dxfId="34" priority="39" stopIfTrue="1" operator="equal">
      <formula>IF($K$27&lt;0,$K$27,)</formula>
    </cfRule>
    <cfRule type="cellIs" dxfId="33" priority="40" operator="equal">
      <formula>IF($K$27&gt;0,$K$27,)</formula>
    </cfRule>
  </conditionalFormatting>
  <conditionalFormatting sqref="K38">
    <cfRule type="cellIs" dxfId="32" priority="37" operator="equal">
      <formula>IF($K$38&lt;0,$K$38,)</formula>
    </cfRule>
    <cfRule type="cellIs" dxfId="31" priority="36" operator="equal">
      <formula>IF($K$38&gt;0,$K$38,)</formula>
    </cfRule>
    <cfRule type="cellIs" dxfId="30" priority="22" operator="equal">
      <formula>IF($K$38=0,$K$38,)</formula>
    </cfRule>
  </conditionalFormatting>
  <conditionalFormatting sqref="K37">
    <cfRule type="cellIs" dxfId="29" priority="35" operator="equal">
      <formula>IF($K$37&lt;0,$K$37,)</formula>
    </cfRule>
    <cfRule type="cellIs" dxfId="28" priority="34" operator="equal">
      <formula>IF($K$37&gt;0,$K$37,)</formula>
    </cfRule>
    <cfRule type="cellIs" dxfId="27" priority="23" operator="equal">
      <formula>IF($K$37=0,$K$37,)</formula>
    </cfRule>
  </conditionalFormatting>
  <conditionalFormatting sqref="K36">
    <cfRule type="cellIs" dxfId="26" priority="28" operator="equal">
      <formula>IF($K$37&gt;0,$K$37,)</formula>
    </cfRule>
    <cfRule type="cellIs" dxfId="25" priority="27" operator="equal">
      <formula>IF($K$36=0,$K$36,)</formula>
    </cfRule>
    <cfRule type="cellIs" dxfId="24" priority="29" operator="equal">
      <formula>IF($K$36&lt;0,$K$36,)</formula>
    </cfRule>
  </conditionalFormatting>
  <conditionalFormatting sqref="K32">
    <cfRule type="cellIs" dxfId="23" priority="26" operator="equal">
      <formula>IF($K$32&lt;0,$K$32,)</formula>
    </cfRule>
    <cfRule type="cellIs" dxfId="22" priority="25" operator="equal">
      <formula>IF($K$32&gt;0,$K$32,)</formula>
    </cfRule>
    <cfRule type="cellIs" dxfId="21" priority="24" operator="equal">
      <formula>IF($K$32=0,$K$32,)</formula>
    </cfRule>
  </conditionalFormatting>
  <conditionalFormatting sqref="K35">
    <cfRule type="cellIs" dxfId="20" priority="19" operator="equal">
      <formula>IF($K$35=0,$K$35,)</formula>
    </cfRule>
    <cfRule type="cellIs" dxfId="19" priority="20" stopIfTrue="1" operator="equal">
      <formula>IF($K$35&lt;0,$K$35,)</formula>
    </cfRule>
    <cfRule type="cellIs" dxfId="18" priority="21" operator="equal">
      <formula>IF($K$35&gt;0,$K$35,)</formula>
    </cfRule>
  </conditionalFormatting>
  <conditionalFormatting sqref="K34">
    <cfRule type="cellIs" dxfId="17" priority="16" operator="equal">
      <formula>IF($K$34=0,$K$34,)</formula>
    </cfRule>
    <cfRule type="cellIs" dxfId="16" priority="17" operator="equal">
      <formula>IF($K$34&lt;0,$K$34,)</formula>
    </cfRule>
    <cfRule type="cellIs" dxfId="15" priority="18" operator="equal">
      <formula>IF($K$34&gt;0,$K$34,)</formula>
    </cfRule>
  </conditionalFormatting>
  <conditionalFormatting sqref="K33">
    <cfRule type="cellIs" dxfId="14" priority="13" operator="equal">
      <formula>IF($K$33=0,$K$33,)</formula>
    </cfRule>
    <cfRule type="cellIs" dxfId="13" priority="15" operator="equal">
      <formula>IF($K$33&lt;0,$K$33,)</formula>
    </cfRule>
    <cfRule type="cellIs" dxfId="12" priority="14" operator="equal">
      <formula>IF($K$33&gt;0,$K$33,)</formula>
    </cfRule>
  </conditionalFormatting>
  <conditionalFormatting sqref="K31">
    <cfRule type="cellIs" dxfId="11" priority="10" operator="equal">
      <formula>IF($K$31=0,$K$31,)</formula>
    </cfRule>
    <cfRule type="cellIs" dxfId="10" priority="12" operator="equal">
      <formula>IF($K$31&lt;0,$K$31,)</formula>
    </cfRule>
    <cfRule type="cellIs" dxfId="9" priority="11" operator="equal">
      <formula>IF($K$31&gt;0,$K$31,)</formula>
    </cfRule>
  </conditionalFormatting>
  <conditionalFormatting sqref="K30">
    <cfRule type="cellIs" dxfId="8" priority="7" stopIfTrue="1" operator="equal">
      <formula>IF($K$30=0,$K$30,)</formula>
    </cfRule>
    <cfRule type="cellIs" dxfId="7" priority="8" stopIfTrue="1" operator="equal">
      <formula>IF($K$30&lt;0,$K$30,)</formula>
    </cfRule>
    <cfRule type="cellIs" dxfId="6" priority="9" operator="equal">
      <formula>IF($K$30&gt;0,$K$30,)</formula>
    </cfRule>
  </conditionalFormatting>
  <conditionalFormatting sqref="K29">
    <cfRule type="cellIs" dxfId="5" priority="4" stopIfTrue="1" operator="equal">
      <formula>IF($K$29=0,$K$29,)</formula>
    </cfRule>
    <cfRule type="cellIs" dxfId="4" priority="5" stopIfTrue="1" operator="equal">
      <formula>IF($K$29&lt;0,$K$29,)</formula>
    </cfRule>
    <cfRule type="cellIs" dxfId="3" priority="6" operator="equal">
      <formula>IF($K$29&gt;0,$K$29,)</formula>
    </cfRule>
  </conditionalFormatting>
  <conditionalFormatting sqref="K28">
    <cfRule type="cellIs" dxfId="2" priority="1" operator="equal">
      <formula>IF($K$28=0,$K$28,)</formula>
    </cfRule>
    <cfRule type="cellIs" dxfId="1" priority="3" operator="equal">
      <formula>IF($K$28&lt;0,$K$28,)</formula>
    </cfRule>
    <cfRule type="cellIs" dxfId="0" priority="2" operator="equal">
      <formula>IF($K$28&gt;0,$K$28,)</formula>
    </cfRule>
  </conditionalFormatting>
  <dataValidations count="3">
    <dataValidation type="decimal" operator="greaterThan" allowBlank="1" showInputMessage="1" showErrorMessage="1" errorTitle="!توجه" error="فقط از اعداد مثبت استفاده شود" sqref="H26:J38 C26">
      <formula1>0</formula1>
    </dataValidation>
    <dataValidation type="decimal" operator="greaterThan" allowBlank="1" showInputMessage="1" showErrorMessage="1" errorTitle="!توجه" error="فقط از اعداد مثبت استفاده شود" sqref="C32">
      <formula1>0</formula1>
    </dataValidation>
    <dataValidation type="decimal" allowBlank="1" showInputMessage="1" showErrorMessage="1" errorTitle="!توجه" error=".فقط از اعداد مثبت استفاده شود&#10;Min:0.1                    Max:2" sqref="N24">
      <formula1>0.1</formula1>
      <formula2>2</formula2>
    </dataValidation>
  </dataValidations>
  <printOptions horizontalCentered="1" verticalCentered="1"/>
  <pageMargins left="0.7" right="0.7" top="0.75" bottom="0.75" header="0.3" footer="0.3"/>
  <pageSetup paperSize="9" scale="60" fitToWidth="0" fitToHeight="0" orientation="landscape" horizontalDpi="1200" verticalDpi="1200" r:id="rId1"/>
  <headerFooter>
    <oddFooter>&amp;C&amp;16salar.d.ghashghaei@gmail.com</oddFooter>
  </headerFooter>
  <ignoredErrors>
    <ignoredError sqref="C37 E31:F31 C35 E30 B12:B13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تحلیل خرپا</vt:lpstr>
      <vt:lpstr>تحلیل خرپا-2</vt:lpstr>
    </vt:vector>
  </TitlesOfParts>
  <Company>MRT www.Win2Farsi.com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salar delavar ghashghaei</dc:creator>
  <cp:lastModifiedBy>Ghashghaei</cp:lastModifiedBy>
  <cp:lastPrinted>2006-07-24T01:46:34Z</cp:lastPrinted>
  <dcterms:created xsi:type="dcterms:W3CDTF">2008-07-14T18:21:56Z</dcterms:created>
  <dcterms:modified xsi:type="dcterms:W3CDTF">2014-08-16T19:34:51Z</dcterms:modified>
</cp:coreProperties>
</file>