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C71" i="1" l="1"/>
  <c r="C64" i="1" l="1"/>
  <c r="C66" i="1"/>
  <c r="C65" i="1" s="1"/>
  <c r="F65" i="1" s="1"/>
  <c r="Q9" i="1" l="1"/>
  <c r="P9" i="1"/>
  <c r="C50" i="1"/>
  <c r="C51" i="1" s="1"/>
  <c r="C47" i="1"/>
  <c r="C40" i="1"/>
  <c r="C42" i="1" s="1"/>
  <c r="C33" i="1"/>
  <c r="C45" i="1" l="1"/>
  <c r="C34" i="1"/>
  <c r="C46" i="1"/>
  <c r="C38" i="1"/>
  <c r="C39" i="1"/>
  <c r="D11" i="1"/>
  <c r="C90" i="1" s="1"/>
  <c r="C28" i="1"/>
  <c r="D9" i="1"/>
  <c r="C89" i="1" s="1"/>
  <c r="D15" i="1"/>
  <c r="C26" i="1" s="1"/>
  <c r="C53" i="1" l="1"/>
  <c r="C86" i="1"/>
  <c r="C41" i="1"/>
  <c r="C44" i="1"/>
  <c r="O6" i="1" s="1"/>
  <c r="P6" i="1" s="1"/>
  <c r="C27" i="1"/>
  <c r="C52" i="1"/>
  <c r="C35" i="1"/>
  <c r="C36" i="1" s="1"/>
  <c r="D70" i="1" l="1"/>
  <c r="C69" i="1"/>
  <c r="D69" i="1"/>
  <c r="C78" i="1" s="1"/>
  <c r="F78" i="1" s="1"/>
  <c r="C49" i="1"/>
  <c r="C32" i="1"/>
  <c r="C67" i="1"/>
  <c r="C70" i="1" l="1"/>
  <c r="E69" i="1" s="1"/>
  <c r="A70" i="1" s="1"/>
  <c r="F69" i="1" s="1"/>
  <c r="C77" i="1" s="1"/>
  <c r="O8" i="1"/>
  <c r="C75" i="1"/>
  <c r="C93" i="1"/>
  <c r="C96" i="1" s="1"/>
  <c r="O12" i="1" s="1"/>
  <c r="O7" i="1"/>
  <c r="P7" i="1" s="1"/>
  <c r="E74" i="1" l="1"/>
  <c r="C73" i="1"/>
  <c r="D73" i="1"/>
  <c r="D78" i="1" s="1"/>
  <c r="F73" i="1" l="1"/>
  <c r="D77" i="1" s="1"/>
  <c r="F77" i="1" s="1"/>
  <c r="P8" i="1" l="1"/>
  <c r="C55" i="1"/>
  <c r="C56" i="1" s="1"/>
  <c r="C57" i="1" s="1"/>
  <c r="D57" i="1" s="1"/>
  <c r="P10" i="1" l="1"/>
  <c r="C58" i="1"/>
  <c r="O10" i="1" s="1"/>
</calcChain>
</file>

<file path=xl/comments1.xml><?xml version="1.0" encoding="utf-8"?>
<comments xmlns="http://schemas.openxmlformats.org/spreadsheetml/2006/main">
  <authors>
    <author>N.S</author>
  </authors>
  <commentList>
    <comment ref="N12" authorId="0" shapeId="0">
      <text>
        <r>
          <rPr>
            <sz val="9"/>
            <color indexed="81"/>
            <rFont val="Tahoma"/>
            <family val="2"/>
          </rPr>
          <t xml:space="preserve">با این ضخامت بتن به تنهایی توانایی تحمل نیروهای وارده را دارا میباشد.
</t>
        </r>
      </text>
    </comment>
    <comment ref="O12" authorId="0" shapeId="0">
      <text>
        <r>
          <rPr>
            <sz val="9"/>
            <color indexed="81"/>
            <rFont val="Tahoma"/>
            <family val="2"/>
          </rPr>
          <t xml:space="preserve">استفاده از این نوع پی جهت مناطق لرزه خیز توصیه نمی شود.
</t>
        </r>
      </text>
    </comment>
  </commentList>
</comments>
</file>

<file path=xl/sharedStrings.xml><?xml version="1.0" encoding="utf-8"?>
<sst xmlns="http://schemas.openxmlformats.org/spreadsheetml/2006/main" count="160" uniqueCount="93">
  <si>
    <t>طول پی</t>
  </si>
  <si>
    <t>عرض پی</t>
  </si>
  <si>
    <t>ضخامت فونداسیون</t>
  </si>
  <si>
    <t>طول کف ستون</t>
  </si>
  <si>
    <t>عرض کف ستون</t>
  </si>
  <si>
    <t>موقعیت کف ستون روی پی</t>
  </si>
  <si>
    <t>خروج از مرکزیت ستون نسبت به مرکز پی</t>
  </si>
  <si>
    <t>پدستال</t>
  </si>
  <si>
    <t>ارتفاع پدستال</t>
  </si>
  <si>
    <t>مقاومت فشاری بتن</t>
  </si>
  <si>
    <t>جنس دیوارهای پیرامونی</t>
  </si>
  <si>
    <t>ضخامت دیوار</t>
  </si>
  <si>
    <t>ارتفاع دیوار</t>
  </si>
  <si>
    <t>Kg/cm^2</t>
  </si>
  <si>
    <t>m</t>
  </si>
  <si>
    <t>cm</t>
  </si>
  <si>
    <t>بلوک</t>
  </si>
  <si>
    <t>آجر</t>
  </si>
  <si>
    <t>ساندویچ پنل</t>
  </si>
  <si>
    <t>وزن دیوار</t>
  </si>
  <si>
    <t>کناری</t>
  </si>
  <si>
    <t>میانی</t>
  </si>
  <si>
    <t>نیروی فشاری حداکثر</t>
  </si>
  <si>
    <t>برش متناظر با نیروی فشاری حداکثر</t>
  </si>
  <si>
    <t>برش حداکثر</t>
  </si>
  <si>
    <t>بارهای سرویس</t>
  </si>
  <si>
    <t>بارهای نهایی</t>
  </si>
  <si>
    <t>خروج از مرکزیت روی پلان</t>
  </si>
  <si>
    <t>خروج از مرکزیت ناشی از برش</t>
  </si>
  <si>
    <t>دارد</t>
  </si>
  <si>
    <t>ندارد</t>
  </si>
  <si>
    <t>خروج از مرکزیت ناشی از وجود پدستال</t>
  </si>
  <si>
    <t>TON</t>
  </si>
  <si>
    <t>مقاومت فشاری خالص خاک</t>
  </si>
  <si>
    <t>مساحت پی</t>
  </si>
  <si>
    <t>cm^2</t>
  </si>
  <si>
    <t>m^2</t>
  </si>
  <si>
    <t>وزن پی</t>
  </si>
  <si>
    <t>وزن پدستال</t>
  </si>
  <si>
    <t>وزن کل پی</t>
  </si>
  <si>
    <t>Kg</t>
  </si>
  <si>
    <t>qu</t>
  </si>
  <si>
    <t>qa</t>
  </si>
  <si>
    <t>موجود</t>
  </si>
  <si>
    <t>برش یکطرفه</t>
  </si>
  <si>
    <t>Vu</t>
  </si>
  <si>
    <t>d</t>
  </si>
  <si>
    <t>φ.Vn</t>
  </si>
  <si>
    <t>برش 2 طرفه</t>
  </si>
  <si>
    <t>مساحت موثر</t>
  </si>
  <si>
    <t>b0</t>
  </si>
  <si>
    <t>نسبت برش پانچ</t>
  </si>
  <si>
    <t>طراحی خمشی</t>
  </si>
  <si>
    <t>Mu</t>
  </si>
  <si>
    <t>Kg.cm</t>
  </si>
  <si>
    <t>بازوی لنگر</t>
  </si>
  <si>
    <t>لنگر ناشی از برش افقی</t>
  </si>
  <si>
    <t>لنگر ناشی از خروج از مرکزیت</t>
  </si>
  <si>
    <t>لنگر ناشی از نیروی قائم</t>
  </si>
  <si>
    <t>Rn</t>
  </si>
  <si>
    <t>ρ</t>
  </si>
  <si>
    <t>ρ gross area</t>
  </si>
  <si>
    <t>As</t>
  </si>
  <si>
    <t>نمرۀ آرماتورهای مش تحتانی</t>
  </si>
  <si>
    <t>تعداد آرماتور لازم در هر راستا</t>
  </si>
  <si>
    <t>Ldh</t>
  </si>
  <si>
    <t>Cb+Ktr/db</t>
  </si>
  <si>
    <t xml:space="preserve">ابعاد پی برای تامین طول مهاری </t>
  </si>
  <si>
    <t>طول مهاری موجود</t>
  </si>
  <si>
    <t>e&lt;L/6</t>
  </si>
  <si>
    <t>لنگر تحت بار سرویس</t>
  </si>
  <si>
    <t>e</t>
  </si>
  <si>
    <t>e&gt;L/6</t>
  </si>
  <si>
    <t>x</t>
  </si>
  <si>
    <t>L/6</t>
  </si>
  <si>
    <t>نسبت تنش با لحاظ لنگر</t>
  </si>
  <si>
    <t>نسبت تنش بدون لحاظ لنگر</t>
  </si>
  <si>
    <t>plain concrete</t>
  </si>
  <si>
    <t>φ.Mn</t>
  </si>
  <si>
    <t>Sm</t>
  </si>
  <si>
    <t>t</t>
  </si>
  <si>
    <t>M</t>
  </si>
  <si>
    <t>تعیین می شود</t>
  </si>
  <si>
    <t>ضخامت پی بدون نیاز به فولاد خمشی</t>
  </si>
  <si>
    <t>(Plain Concrete)</t>
  </si>
  <si>
    <t>qx</t>
  </si>
  <si>
    <t>محل برآیند تنش ذوزنقه ای</t>
  </si>
  <si>
    <t>qumax</t>
  </si>
  <si>
    <t>qumin</t>
  </si>
  <si>
    <t>qmax ser</t>
  </si>
  <si>
    <t>qmax serv</t>
  </si>
  <si>
    <t>تنش مجاز خاک زیر پی</t>
  </si>
  <si>
    <t>98/1/18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</si>
</sst>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B Lotus"/>
      <charset val="178"/>
    </font>
    <font>
      <i/>
      <sz val="11"/>
      <color theme="1"/>
      <name val="Times New Roman"/>
      <family val="1"/>
    </font>
    <font>
      <sz val="11"/>
      <color theme="4" tint="0.59999389629810485"/>
      <name val="B Lotus"/>
      <charset val="178"/>
    </font>
    <font>
      <i/>
      <sz val="11"/>
      <color theme="4" tint="0.59999389629810485"/>
      <name val="Times New Roman"/>
      <family val="1"/>
    </font>
    <font>
      <sz val="11"/>
      <color theme="4" tint="0.39997558519241921"/>
      <name val="B Lotus"/>
      <charset val="178"/>
    </font>
    <font>
      <i/>
      <sz val="11"/>
      <color theme="4" tint="0.39997558519241921"/>
      <name val="Times New Roman"/>
      <family val="1"/>
    </font>
    <font>
      <sz val="11"/>
      <color theme="0"/>
      <name val="B Lotus"/>
      <charset val="178"/>
    </font>
    <font>
      <i/>
      <sz val="11"/>
      <name val="Times New Roman"/>
      <family val="1"/>
    </font>
    <font>
      <sz val="11"/>
      <name val="B Lotus"/>
      <charset val="178"/>
    </font>
    <font>
      <sz val="9"/>
      <color indexed="81"/>
      <name val="Tahoma"/>
      <family val="2"/>
    </font>
    <font>
      <i/>
      <sz val="11"/>
      <color theme="0"/>
      <name val="Times New Roman"/>
      <family val="1"/>
    </font>
    <font>
      <sz val="14"/>
      <color theme="1"/>
      <name val="B Lotus"/>
      <charset val="178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Protection="1"/>
    <xf numFmtId="0" fontId="7" fillId="5" borderId="1" xfId="0" applyFont="1" applyFill="1" applyBorder="1" applyProtection="1"/>
    <xf numFmtId="0" fontId="4" fillId="0" borderId="0" xfId="0" applyFont="1" applyAlignment="1" applyProtection="1">
      <alignment horizontal="center"/>
    </xf>
    <xf numFmtId="0" fontId="7" fillId="6" borderId="1" xfId="0" applyFont="1" applyFill="1" applyBorder="1" applyProtection="1"/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1" fontId="1" fillId="4" borderId="1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Protection="1"/>
    <xf numFmtId="0" fontId="1" fillId="2" borderId="0" xfId="0" applyFont="1" applyFill="1" applyProtection="1"/>
    <xf numFmtId="0" fontId="5" fillId="4" borderId="1" xfId="0" applyFont="1" applyFill="1" applyBorder="1" applyProtection="1"/>
    <xf numFmtId="0" fontId="6" fillId="4" borderId="1" xfId="0" applyFont="1" applyFill="1" applyBorder="1" applyAlignment="1" applyProtection="1">
      <alignment horizontal="center"/>
    </xf>
    <xf numFmtId="0" fontId="6" fillId="4" borderId="0" xfId="0" applyFont="1" applyFill="1" applyProtection="1"/>
    <xf numFmtId="0" fontId="1" fillId="3" borderId="0" xfId="0" applyFont="1" applyFill="1" applyProtection="1"/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1" fontId="4" fillId="0" borderId="0" xfId="0" applyNumberFormat="1" applyFont="1" applyAlignment="1" applyProtection="1">
      <alignment horizontal="center"/>
    </xf>
    <xf numFmtId="0" fontId="8" fillId="0" borderId="0" xfId="0" applyFont="1" applyProtection="1"/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7" fillId="8" borderId="1" xfId="0" applyFont="1" applyFill="1" applyBorder="1" applyProtection="1"/>
    <xf numFmtId="2" fontId="2" fillId="9" borderId="1" xfId="0" applyNumberFormat="1" applyFont="1" applyFill="1" applyBorder="1" applyAlignment="1" applyProtection="1">
      <alignment horizontal="center"/>
    </xf>
    <xf numFmtId="0" fontId="11" fillId="8" borderId="0" xfId="0" applyFont="1" applyFill="1" applyAlignment="1" applyProtection="1">
      <alignment horizontal="center"/>
    </xf>
    <xf numFmtId="0" fontId="12" fillId="0" borderId="0" xfId="0" applyFont="1" applyAlignment="1" applyProtection="1">
      <alignment horizontal="center" vertical="center"/>
    </xf>
    <xf numFmtId="2" fontId="8" fillId="0" borderId="0" xfId="0" applyNumberFormat="1" applyFont="1" applyAlignment="1" applyProtection="1">
      <alignment horizontal="center"/>
    </xf>
    <xf numFmtId="164" fontId="8" fillId="0" borderId="0" xfId="0" applyNumberFormat="1" applyFont="1" applyAlignment="1" applyProtection="1">
      <alignment horizontal="center"/>
    </xf>
    <xf numFmtId="1" fontId="8" fillId="0" borderId="0" xfId="0" applyNumberFormat="1" applyFont="1" applyAlignment="1" applyProtection="1">
      <alignment horizontal="center"/>
    </xf>
    <xf numFmtId="2" fontId="8" fillId="0" borderId="0" xfId="0" applyNumberFormat="1" applyFont="1" applyProtection="1"/>
    <xf numFmtId="0" fontId="1" fillId="0" borderId="0" xfId="0" applyFont="1" applyAlignment="1" applyProtection="1">
      <alignment horizontal="center" vertical="center"/>
    </xf>
    <xf numFmtId="0" fontId="1" fillId="7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3</xdr:row>
      <xdr:rowOff>219075</xdr:rowOff>
    </xdr:from>
    <xdr:to>
      <xdr:col>9</xdr:col>
      <xdr:colOff>247413</xdr:colOff>
      <xdr:row>13</xdr:row>
      <xdr:rowOff>199694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971550"/>
          <a:ext cx="1895238" cy="2647619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35</xdr:row>
      <xdr:rowOff>9525</xdr:rowOff>
    </xdr:from>
    <xdr:to>
      <xdr:col>10</xdr:col>
      <xdr:colOff>514224</xdr:colOff>
      <xdr:row>37</xdr:row>
      <xdr:rowOff>180892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48225" y="9077325"/>
          <a:ext cx="1009524" cy="666667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39</xdr:row>
      <xdr:rowOff>171450</xdr:rowOff>
    </xdr:from>
    <xdr:to>
      <xdr:col>13</xdr:col>
      <xdr:colOff>875971</xdr:colOff>
      <xdr:row>42</xdr:row>
      <xdr:rowOff>218976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91275" y="9829800"/>
          <a:ext cx="2628571" cy="790476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37</xdr:row>
      <xdr:rowOff>219075</xdr:rowOff>
    </xdr:from>
    <xdr:to>
      <xdr:col>13</xdr:col>
      <xdr:colOff>37882</xdr:colOff>
      <xdr:row>39</xdr:row>
      <xdr:rowOff>199965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38900" y="9382125"/>
          <a:ext cx="1742857" cy="476190"/>
        </a:xfrm>
        <a:prstGeom prst="rect">
          <a:avLst/>
        </a:prstGeom>
      </xdr:spPr>
    </xdr:pic>
    <xdr:clientData/>
  </xdr:twoCellAnchor>
  <xdr:twoCellAnchor editAs="oneCell">
    <xdr:from>
      <xdr:col>13</xdr:col>
      <xdr:colOff>1095375</xdr:colOff>
      <xdr:row>42</xdr:row>
      <xdr:rowOff>95250</xdr:rowOff>
    </xdr:from>
    <xdr:to>
      <xdr:col>17</xdr:col>
      <xdr:colOff>913279</xdr:colOff>
      <xdr:row>51</xdr:row>
      <xdr:rowOff>28305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3414"/>
        <a:stretch/>
      </xdr:blipFill>
      <xdr:spPr>
        <a:xfrm>
          <a:off x="8362950" y="10963275"/>
          <a:ext cx="4295775" cy="2161905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48</xdr:row>
      <xdr:rowOff>9525</xdr:rowOff>
    </xdr:from>
    <xdr:to>
      <xdr:col>13</xdr:col>
      <xdr:colOff>504355</xdr:colOff>
      <xdr:row>49</xdr:row>
      <xdr:rowOff>9494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24300" y="11896725"/>
          <a:ext cx="3761905" cy="247619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52</xdr:row>
      <xdr:rowOff>219075</xdr:rowOff>
    </xdr:from>
    <xdr:to>
      <xdr:col>15</xdr:col>
      <xdr:colOff>285127</xdr:colOff>
      <xdr:row>56</xdr:row>
      <xdr:rowOff>218951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19650" y="13096875"/>
          <a:ext cx="4980952" cy="990476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56</xdr:row>
      <xdr:rowOff>228600</xdr:rowOff>
    </xdr:from>
    <xdr:to>
      <xdr:col>14</xdr:col>
      <xdr:colOff>18748</xdr:colOff>
      <xdr:row>59</xdr:row>
      <xdr:rowOff>171364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895975" y="14497050"/>
          <a:ext cx="2419048" cy="685714"/>
        </a:xfrm>
        <a:prstGeom prst="rect">
          <a:avLst/>
        </a:prstGeom>
      </xdr:spPr>
    </xdr:pic>
    <xdr:clientData/>
  </xdr:twoCellAnchor>
  <xdr:oneCellAnchor>
    <xdr:from>
      <xdr:col>7</xdr:col>
      <xdr:colOff>209550</xdr:colOff>
      <xdr:row>55</xdr:row>
      <xdr:rowOff>95250</xdr:rowOff>
    </xdr:from>
    <xdr:ext cx="65" cy="172227"/>
    <xdr:sp macro="" textlink="">
      <xdr:nvSpPr>
        <xdr:cNvPr id="10" name="TextBox 9"/>
        <xdr:cNvSpPr txBox="1"/>
      </xdr:nvSpPr>
      <xdr:spPr>
        <a:xfrm>
          <a:off x="5943600" y="13716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15</xdr:col>
      <xdr:colOff>219075</xdr:colOff>
      <xdr:row>57</xdr:row>
      <xdr:rowOff>85725</xdr:rowOff>
    </xdr:from>
    <xdr:to>
      <xdr:col>17</xdr:col>
      <xdr:colOff>484329</xdr:colOff>
      <xdr:row>58</xdr:row>
      <xdr:rowOff>209504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820150" y="14601825"/>
          <a:ext cx="2600000" cy="371429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0</xdr:row>
      <xdr:rowOff>0</xdr:rowOff>
    </xdr:from>
    <xdr:to>
      <xdr:col>10</xdr:col>
      <xdr:colOff>561514</xdr:colOff>
      <xdr:row>1</xdr:row>
      <xdr:rowOff>123779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57550" y="0"/>
          <a:ext cx="3685714" cy="371429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</xdr:row>
      <xdr:rowOff>200025</xdr:rowOff>
    </xdr:from>
    <xdr:to>
      <xdr:col>2</xdr:col>
      <xdr:colOff>638098</xdr:colOff>
      <xdr:row>2</xdr:row>
      <xdr:rowOff>190470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05100" y="447675"/>
          <a:ext cx="619048" cy="238095"/>
        </a:xfrm>
        <a:prstGeom prst="rect">
          <a:avLst/>
        </a:prstGeom>
      </xdr:spPr>
    </xdr:pic>
    <xdr:clientData/>
  </xdr:twoCellAnchor>
  <xdr:twoCellAnchor editAs="oneCell">
    <xdr:from>
      <xdr:col>13</xdr:col>
      <xdr:colOff>1019175</xdr:colOff>
      <xdr:row>3</xdr:row>
      <xdr:rowOff>190500</xdr:rowOff>
    </xdr:from>
    <xdr:to>
      <xdr:col>13</xdr:col>
      <xdr:colOff>1685842</xdr:colOff>
      <xdr:row>4</xdr:row>
      <xdr:rowOff>199990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8086725" y="942975"/>
          <a:ext cx="666667" cy="276190"/>
        </a:xfrm>
        <a:prstGeom prst="rect">
          <a:avLst/>
        </a:prstGeom>
      </xdr:spPr>
    </xdr:pic>
    <xdr:clientData/>
  </xdr:twoCellAnchor>
  <xdr:twoCellAnchor editAs="oneCell">
    <xdr:from>
      <xdr:col>13</xdr:col>
      <xdr:colOff>361950</xdr:colOff>
      <xdr:row>17</xdr:row>
      <xdr:rowOff>123825</xdr:rowOff>
    </xdr:from>
    <xdr:to>
      <xdr:col>15</xdr:col>
      <xdr:colOff>256920</xdr:colOff>
      <xdr:row>18</xdr:row>
      <xdr:rowOff>171411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429500" y="4610100"/>
          <a:ext cx="2038095" cy="314286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60</xdr:row>
      <xdr:rowOff>95250</xdr:rowOff>
    </xdr:from>
    <xdr:to>
      <xdr:col>15</xdr:col>
      <xdr:colOff>1523342</xdr:colOff>
      <xdr:row>69</xdr:row>
      <xdr:rowOff>66400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943475" y="15354300"/>
          <a:ext cx="5266667" cy="2200000"/>
        </a:xfrm>
        <a:prstGeom prst="rect">
          <a:avLst/>
        </a:prstGeom>
      </xdr:spPr>
    </xdr:pic>
    <xdr:clientData/>
  </xdr:twoCellAnchor>
  <xdr:twoCellAnchor editAs="oneCell">
    <xdr:from>
      <xdr:col>10</xdr:col>
      <xdr:colOff>361950</xdr:colOff>
      <xdr:row>70</xdr:row>
      <xdr:rowOff>152400</xdr:rowOff>
    </xdr:from>
    <xdr:to>
      <xdr:col>12</xdr:col>
      <xdr:colOff>85630</xdr:colOff>
      <xdr:row>72</xdr:row>
      <xdr:rowOff>190433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619750" y="17887950"/>
          <a:ext cx="761905" cy="533333"/>
        </a:xfrm>
        <a:prstGeom prst="rect">
          <a:avLst/>
        </a:prstGeom>
      </xdr:spPr>
    </xdr:pic>
    <xdr:clientData/>
  </xdr:twoCellAnchor>
  <xdr:twoCellAnchor editAs="oneCell">
    <xdr:from>
      <xdr:col>13</xdr:col>
      <xdr:colOff>1133475</xdr:colOff>
      <xdr:row>64</xdr:row>
      <xdr:rowOff>76200</xdr:rowOff>
    </xdr:from>
    <xdr:to>
      <xdr:col>17</xdr:col>
      <xdr:colOff>427033</xdr:colOff>
      <xdr:row>72</xdr:row>
      <xdr:rowOff>133095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858125" y="16325850"/>
          <a:ext cx="3771429" cy="2038095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73</xdr:row>
      <xdr:rowOff>123825</xdr:rowOff>
    </xdr:from>
    <xdr:to>
      <xdr:col>17</xdr:col>
      <xdr:colOff>160012</xdr:colOff>
      <xdr:row>79</xdr:row>
      <xdr:rowOff>161735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933950" y="18602325"/>
          <a:ext cx="6333333" cy="1523810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59</xdr:row>
      <xdr:rowOff>180975</xdr:rowOff>
    </xdr:from>
    <xdr:to>
      <xdr:col>15</xdr:col>
      <xdr:colOff>1561567</xdr:colOff>
      <xdr:row>76</xdr:row>
      <xdr:rowOff>170925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7639050" y="15259050"/>
          <a:ext cx="4266667" cy="4200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81</xdr:row>
      <xdr:rowOff>66675</xdr:rowOff>
    </xdr:from>
    <xdr:to>
      <xdr:col>17</xdr:col>
      <xdr:colOff>350672</xdr:colOff>
      <xdr:row>89</xdr:row>
      <xdr:rowOff>47380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972425" y="20593050"/>
          <a:ext cx="5057143" cy="1961905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91</xdr:row>
      <xdr:rowOff>133350</xdr:rowOff>
    </xdr:from>
    <xdr:to>
      <xdr:col>15</xdr:col>
      <xdr:colOff>1171575</xdr:colOff>
      <xdr:row>97</xdr:row>
      <xdr:rowOff>47625</xdr:rowOff>
    </xdr:to>
    <xdr:pic>
      <xdr:nvPicPr>
        <xdr:cNvPr id="23" name="Picture 22"/>
        <xdr:cNvPicPr/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781550" y="23069550"/>
          <a:ext cx="5943600" cy="1400175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97</xdr:row>
      <xdr:rowOff>85725</xdr:rowOff>
    </xdr:from>
    <xdr:to>
      <xdr:col>16</xdr:col>
      <xdr:colOff>28575</xdr:colOff>
      <xdr:row>101</xdr:row>
      <xdr:rowOff>229870</xdr:rowOff>
    </xdr:to>
    <xdr:pic>
      <xdr:nvPicPr>
        <xdr:cNvPr id="24" name="Picture 23"/>
        <xdr:cNvPicPr/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4914900" y="24507825"/>
          <a:ext cx="5943600" cy="113474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90</xdr:row>
      <xdr:rowOff>47625</xdr:rowOff>
    </xdr:from>
    <xdr:to>
      <xdr:col>15</xdr:col>
      <xdr:colOff>294623</xdr:colOff>
      <xdr:row>93</xdr:row>
      <xdr:rowOff>161818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629150" y="22736175"/>
          <a:ext cx="5219048" cy="857143"/>
        </a:xfrm>
        <a:prstGeom prst="rect">
          <a:avLst/>
        </a:prstGeom>
      </xdr:spPr>
    </xdr:pic>
    <xdr:clientData/>
  </xdr:twoCellAnchor>
  <xdr:twoCellAnchor editAs="oneCell">
    <xdr:from>
      <xdr:col>12</xdr:col>
      <xdr:colOff>209551</xdr:colOff>
      <xdr:row>13</xdr:row>
      <xdr:rowOff>85725</xdr:rowOff>
    </xdr:from>
    <xdr:to>
      <xdr:col>15</xdr:col>
      <xdr:colOff>543984</xdr:colOff>
      <xdr:row>17</xdr:row>
      <xdr:rowOff>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7029451" y="3505200"/>
          <a:ext cx="2725208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05"/>
  <sheetViews>
    <sheetView showGridLines="0" tabSelected="1" zoomScale="85" zoomScaleNormal="85" workbookViewId="0">
      <selection activeCell="C5" sqref="C5"/>
    </sheetView>
  </sheetViews>
  <sheetFormatPr defaultRowHeight="19.5" x14ac:dyDescent="0.55000000000000004"/>
  <cols>
    <col min="1" max="1" width="19.28515625" style="1" bestFit="1" customWidth="1"/>
    <col min="2" max="2" width="29" style="1" bestFit="1" customWidth="1"/>
    <col min="3" max="3" width="14.28515625" style="2" bestFit="1" customWidth="1"/>
    <col min="4" max="4" width="11.28515625" style="3" bestFit="1" customWidth="1"/>
    <col min="5" max="5" width="6.28515625" style="1" bestFit="1" customWidth="1"/>
    <col min="6" max="6" width="9.5703125" style="1" bestFit="1" customWidth="1"/>
    <col min="7" max="9" width="3.140625" style="1" customWidth="1"/>
    <col min="10" max="10" width="4.5703125" style="1" customWidth="1"/>
    <col min="11" max="11" width="9.42578125" style="1" customWidth="1"/>
    <col min="12" max="12" width="6.140625" style="2" bestFit="1" customWidth="1"/>
    <col min="13" max="13" width="3.7109375" style="1" customWidth="1"/>
    <col min="14" max="14" width="26.5703125" style="1" bestFit="1" customWidth="1"/>
    <col min="15" max="15" width="5.5703125" style="1" bestFit="1" customWidth="1"/>
    <col min="16" max="16" width="24.28515625" style="1" bestFit="1" customWidth="1"/>
    <col min="17" max="17" width="10.7109375" style="33" bestFit="1" customWidth="1"/>
    <col min="18" max="18" width="22.42578125" style="1" bestFit="1" customWidth="1"/>
    <col min="19" max="16384" width="9.140625" style="1"/>
  </cols>
  <sheetData>
    <row r="3" spans="2:18" ht="25.5" thickBot="1" x14ac:dyDescent="0.6">
      <c r="N3" s="28" t="s">
        <v>92</v>
      </c>
    </row>
    <row r="4" spans="2:18" ht="21" thickTop="1" thickBot="1" x14ac:dyDescent="0.6">
      <c r="B4" s="4" t="s">
        <v>3</v>
      </c>
      <c r="C4" s="18">
        <v>50</v>
      </c>
      <c r="D4" s="3" t="s">
        <v>15</v>
      </c>
    </row>
    <row r="5" spans="2:18" ht="21" thickTop="1" thickBot="1" x14ac:dyDescent="0.6">
      <c r="B5" s="4" t="s">
        <v>4</v>
      </c>
      <c r="C5" s="18">
        <v>40</v>
      </c>
      <c r="D5" s="3" t="s">
        <v>15</v>
      </c>
    </row>
    <row r="6" spans="2:18" ht="21" thickTop="1" thickBot="1" x14ac:dyDescent="0.6">
      <c r="B6" s="4" t="s">
        <v>0</v>
      </c>
      <c r="C6" s="18">
        <v>150</v>
      </c>
      <c r="D6" s="3" t="s">
        <v>15</v>
      </c>
      <c r="K6" s="5" t="s">
        <v>17</v>
      </c>
      <c r="L6" s="5">
        <v>1850</v>
      </c>
      <c r="N6" s="6" t="s">
        <v>51</v>
      </c>
      <c r="O6" s="26">
        <f>C44/C45</f>
        <v>0.33299212958224061</v>
      </c>
      <c r="P6" s="7" t="str">
        <f>IF(O6&lt;=1,"ضخامت کافی میباشد","ضخامت کافی نمی باشد")</f>
        <v>ضخامت کافی میباشد</v>
      </c>
    </row>
    <row r="7" spans="2:18" ht="21" thickTop="1" thickBot="1" x14ac:dyDescent="0.6">
      <c r="B7" s="4" t="s">
        <v>1</v>
      </c>
      <c r="C7" s="18">
        <v>150</v>
      </c>
      <c r="D7" s="3" t="s">
        <v>15</v>
      </c>
      <c r="K7" s="5" t="s">
        <v>16</v>
      </c>
      <c r="L7" s="5">
        <v>1300</v>
      </c>
      <c r="N7" s="6" t="s">
        <v>76</v>
      </c>
      <c r="O7" s="26">
        <f>C38/C32</f>
        <v>0.41693121693121693</v>
      </c>
      <c r="P7" s="7" t="str">
        <f>IF(O7&lt;=1,"طول و عرض کافی میباشد","طول و عرض کافی نمی باشد")</f>
        <v>طول و عرض کافی میباشد</v>
      </c>
    </row>
    <row r="8" spans="2:18" ht="21" thickTop="1" thickBot="1" x14ac:dyDescent="0.6">
      <c r="B8" s="4" t="s">
        <v>2</v>
      </c>
      <c r="C8" s="18">
        <v>25</v>
      </c>
      <c r="D8" s="3" t="s">
        <v>15</v>
      </c>
      <c r="K8" s="5" t="s">
        <v>18</v>
      </c>
      <c r="L8" s="5">
        <v>0</v>
      </c>
      <c r="N8" s="6" t="s">
        <v>75</v>
      </c>
      <c r="O8" s="26">
        <f>F78/C32</f>
        <v>1.0243386243386243</v>
      </c>
      <c r="P8" s="7" t="str">
        <f>IF(O8&lt;=1,"طول و عرض کافی میباشد","طول و عرض کافی نمی باشد")</f>
        <v>طول و عرض کافی نمی باشد</v>
      </c>
    </row>
    <row r="9" spans="2:18" ht="21" thickTop="1" thickBot="1" x14ac:dyDescent="0.6">
      <c r="B9" s="4" t="s">
        <v>5</v>
      </c>
      <c r="C9" s="17" t="s">
        <v>21</v>
      </c>
      <c r="D9" s="5">
        <f>LOOKUP(C9,K10:K11,L10:L11)</f>
        <v>0</v>
      </c>
      <c r="K9" s="5"/>
      <c r="L9" s="5"/>
      <c r="N9" s="25" t="s">
        <v>63</v>
      </c>
      <c r="O9" s="17">
        <v>18</v>
      </c>
      <c r="P9" s="8">
        <f>LOOKUP(O9,M15:M18,L15:L18)</f>
        <v>2.54</v>
      </c>
      <c r="Q9" s="34" t="str">
        <f>IF(C64&gt;=F65,"کافی میباشد","کافی نمی باشد")</f>
        <v>کافی نمی باشد</v>
      </c>
      <c r="R9" s="1" t="s">
        <v>67</v>
      </c>
    </row>
    <row r="10" spans="2:18" ht="21" thickTop="1" thickBot="1" x14ac:dyDescent="0.6">
      <c r="B10" s="4" t="s">
        <v>6</v>
      </c>
      <c r="C10" s="18">
        <v>30</v>
      </c>
      <c r="D10" s="3" t="s">
        <v>15</v>
      </c>
      <c r="K10" s="5" t="s">
        <v>20</v>
      </c>
      <c r="L10" s="5">
        <v>1</v>
      </c>
      <c r="N10" s="25" t="s">
        <v>64</v>
      </c>
      <c r="O10" s="9">
        <f>C58/P9+1</f>
        <v>6.2582117235345587</v>
      </c>
      <c r="P10" s="2" t="str">
        <f>IF(D57&lt;=0.0018,"آرماتورها بر اساس افت و حررات ","آرماتورها بر اساس خمش")</f>
        <v>آرماتورها بر اساس خمش</v>
      </c>
    </row>
    <row r="11" spans="2:18" ht="21" thickTop="1" thickBot="1" x14ac:dyDescent="0.6">
      <c r="B11" s="4" t="s">
        <v>7</v>
      </c>
      <c r="C11" s="17" t="s">
        <v>30</v>
      </c>
      <c r="D11" s="5">
        <f>LOOKUP(C11,K13:K14,L13:L14)</f>
        <v>0</v>
      </c>
      <c r="K11" s="5" t="s">
        <v>21</v>
      </c>
      <c r="L11" s="5">
        <v>0</v>
      </c>
      <c r="P11" s="2" t="s">
        <v>82</v>
      </c>
    </row>
    <row r="12" spans="2:18" ht="21" thickTop="1" thickBot="1" x14ac:dyDescent="0.6">
      <c r="B12" s="4" t="s">
        <v>8</v>
      </c>
      <c r="C12" s="18">
        <v>80</v>
      </c>
      <c r="D12" s="3" t="s">
        <v>15</v>
      </c>
      <c r="K12" s="5"/>
      <c r="L12" s="5"/>
      <c r="N12" s="25" t="s">
        <v>83</v>
      </c>
      <c r="O12" s="9">
        <f>C96+1</f>
        <v>53.700103350521502</v>
      </c>
      <c r="P12" s="3" t="s">
        <v>15</v>
      </c>
    </row>
    <row r="13" spans="2:18" ht="21" thickTop="1" thickBot="1" x14ac:dyDescent="0.6">
      <c r="B13" s="4" t="s">
        <v>9</v>
      </c>
      <c r="C13" s="18">
        <v>210</v>
      </c>
      <c r="D13" s="3" t="s">
        <v>13</v>
      </c>
      <c r="K13" s="5" t="s">
        <v>29</v>
      </c>
      <c r="L13" s="5">
        <v>1</v>
      </c>
      <c r="N13" s="27" t="s">
        <v>84</v>
      </c>
    </row>
    <row r="14" spans="2:18" ht="21" thickTop="1" thickBot="1" x14ac:dyDescent="0.6">
      <c r="B14" s="4" t="s">
        <v>91</v>
      </c>
      <c r="C14" s="18">
        <v>1.5</v>
      </c>
      <c r="D14" s="3" t="s">
        <v>13</v>
      </c>
      <c r="K14" s="5" t="s">
        <v>30</v>
      </c>
      <c r="L14" s="5">
        <v>0</v>
      </c>
      <c r="M14" s="5"/>
    </row>
    <row r="15" spans="2:18" ht="21" thickTop="1" thickBot="1" x14ac:dyDescent="0.6">
      <c r="B15" s="4" t="s">
        <v>10</v>
      </c>
      <c r="C15" s="17" t="s">
        <v>18</v>
      </c>
      <c r="D15" s="10">
        <f>LOOKUP(C15,K6:K8,L6:L8)</f>
        <v>0</v>
      </c>
      <c r="F15" s="2"/>
      <c r="K15" s="5"/>
      <c r="L15" s="5">
        <v>1.53</v>
      </c>
      <c r="M15" s="5">
        <v>14</v>
      </c>
    </row>
    <row r="16" spans="2:18" ht="21" thickTop="1" thickBot="1" x14ac:dyDescent="0.6">
      <c r="B16" s="4" t="s">
        <v>11</v>
      </c>
      <c r="C16" s="18">
        <v>35</v>
      </c>
      <c r="D16" s="3" t="s">
        <v>15</v>
      </c>
      <c r="K16" s="5"/>
      <c r="L16" s="5">
        <v>2</v>
      </c>
      <c r="M16" s="5">
        <v>16</v>
      </c>
    </row>
    <row r="17" spans="1:13" ht="21" thickTop="1" thickBot="1" x14ac:dyDescent="0.6">
      <c r="B17" s="4" t="s">
        <v>12</v>
      </c>
      <c r="C17" s="18">
        <v>6</v>
      </c>
      <c r="D17" s="3" t="s">
        <v>14</v>
      </c>
      <c r="G17" s="11"/>
      <c r="K17" s="5"/>
      <c r="L17" s="5">
        <v>2.54</v>
      </c>
      <c r="M17" s="5">
        <v>18</v>
      </c>
    </row>
    <row r="18" spans="1:13" ht="21" thickTop="1" thickBot="1" x14ac:dyDescent="0.6">
      <c r="A18" s="12"/>
      <c r="B18" s="4" t="s">
        <v>22</v>
      </c>
      <c r="C18" s="18">
        <v>11.82</v>
      </c>
      <c r="D18" s="3" t="s">
        <v>32</v>
      </c>
      <c r="K18" s="5"/>
      <c r="L18" s="5">
        <v>3.14</v>
      </c>
      <c r="M18" s="5">
        <v>20</v>
      </c>
    </row>
    <row r="19" spans="1:13" ht="21" thickTop="1" thickBot="1" x14ac:dyDescent="0.6">
      <c r="A19" s="12" t="s">
        <v>25</v>
      </c>
      <c r="B19" s="4" t="s">
        <v>23</v>
      </c>
      <c r="C19" s="18">
        <v>11.82</v>
      </c>
      <c r="D19" s="3" t="s">
        <v>32</v>
      </c>
    </row>
    <row r="20" spans="1:13" ht="21" thickTop="1" thickBot="1" x14ac:dyDescent="0.6">
      <c r="A20" s="12"/>
      <c r="B20" s="13" t="s">
        <v>24</v>
      </c>
      <c r="C20" s="14">
        <v>40</v>
      </c>
      <c r="D20" s="15" t="s">
        <v>32</v>
      </c>
    </row>
    <row r="21" spans="1:13" ht="21" thickTop="1" thickBot="1" x14ac:dyDescent="0.6">
      <c r="A21" s="16"/>
      <c r="B21" s="4" t="s">
        <v>22</v>
      </c>
      <c r="C21" s="18">
        <v>14.3</v>
      </c>
      <c r="D21" s="3" t="s">
        <v>32</v>
      </c>
    </row>
    <row r="22" spans="1:13" ht="21" thickTop="1" thickBot="1" x14ac:dyDescent="0.6">
      <c r="A22" s="16" t="s">
        <v>26</v>
      </c>
      <c r="B22" s="4" t="s">
        <v>23</v>
      </c>
      <c r="C22" s="18">
        <v>4</v>
      </c>
      <c r="D22" s="3" t="s">
        <v>32</v>
      </c>
    </row>
    <row r="23" spans="1:13" ht="21" thickTop="1" thickBot="1" x14ac:dyDescent="0.6">
      <c r="A23" s="16"/>
      <c r="B23" s="13" t="s">
        <v>24</v>
      </c>
      <c r="C23" s="14">
        <v>35</v>
      </c>
      <c r="D23" s="15" t="s">
        <v>32</v>
      </c>
    </row>
    <row r="24" spans="1:13" ht="20.25" thickTop="1" x14ac:dyDescent="0.55000000000000004"/>
    <row r="26" spans="1:13" x14ac:dyDescent="0.55000000000000004">
      <c r="B26" s="23" t="s">
        <v>19</v>
      </c>
      <c r="C26" s="20">
        <f>0.01*C16*C17*D15</f>
        <v>0</v>
      </c>
      <c r="D26" s="22"/>
    </row>
    <row r="27" spans="1:13" x14ac:dyDescent="0.55000000000000004">
      <c r="B27" s="23" t="s">
        <v>27</v>
      </c>
      <c r="C27" s="20">
        <f>D9*C10</f>
        <v>0</v>
      </c>
      <c r="D27" s="22" t="s">
        <v>15</v>
      </c>
    </row>
    <row r="28" spans="1:13" x14ac:dyDescent="0.55000000000000004">
      <c r="B28" s="23" t="s">
        <v>28</v>
      </c>
      <c r="C28" s="20">
        <f>C8</f>
        <v>25</v>
      </c>
      <c r="D28" s="22" t="s">
        <v>15</v>
      </c>
    </row>
    <row r="29" spans="1:13" x14ac:dyDescent="0.55000000000000004">
      <c r="B29" s="23" t="s">
        <v>31</v>
      </c>
      <c r="C29" s="24"/>
      <c r="D29" s="22"/>
    </row>
    <row r="30" spans="1:13" x14ac:dyDescent="0.55000000000000004">
      <c r="B30" s="23"/>
      <c r="C30" s="24"/>
      <c r="D30" s="22"/>
    </row>
    <row r="31" spans="1:13" x14ac:dyDescent="0.55000000000000004">
      <c r="B31" s="23"/>
      <c r="C31" s="24"/>
      <c r="D31" s="22"/>
    </row>
    <row r="32" spans="1:13" x14ac:dyDescent="0.55000000000000004">
      <c r="B32" s="23" t="s">
        <v>33</v>
      </c>
      <c r="C32" s="29">
        <f>C14-((C26+C36)/C33)*10^-4</f>
        <v>1.26</v>
      </c>
      <c r="D32" s="22" t="s">
        <v>13</v>
      </c>
    </row>
    <row r="33" spans="1:4" x14ac:dyDescent="0.55000000000000004">
      <c r="B33" s="23" t="s">
        <v>34</v>
      </c>
      <c r="C33" s="20">
        <f>C6*C7/10000</f>
        <v>2.25</v>
      </c>
      <c r="D33" s="22" t="s">
        <v>36</v>
      </c>
    </row>
    <row r="34" spans="1:4" x14ac:dyDescent="0.55000000000000004">
      <c r="B34" s="23" t="s">
        <v>37</v>
      </c>
      <c r="C34" s="20">
        <f>C33*2400</f>
        <v>5400</v>
      </c>
      <c r="D34" s="22" t="s">
        <v>40</v>
      </c>
    </row>
    <row r="35" spans="1:4" x14ac:dyDescent="0.55000000000000004">
      <c r="B35" s="23" t="s">
        <v>38</v>
      </c>
      <c r="C35" s="20">
        <f>C4*C5*0.24*D11*C12/100</f>
        <v>0</v>
      </c>
      <c r="D35" s="22" t="s">
        <v>40</v>
      </c>
    </row>
    <row r="36" spans="1:4" x14ac:dyDescent="0.55000000000000004">
      <c r="B36" s="23" t="s">
        <v>39</v>
      </c>
      <c r="C36" s="20">
        <f>SUM(C34:C35)</f>
        <v>5400</v>
      </c>
      <c r="D36" s="22" t="s">
        <v>40</v>
      </c>
    </row>
    <row r="37" spans="1:4" x14ac:dyDescent="0.55000000000000004">
      <c r="B37" s="23"/>
      <c r="C37" s="24"/>
      <c r="D37" s="22"/>
    </row>
    <row r="38" spans="1:4" x14ac:dyDescent="0.55000000000000004">
      <c r="A38" s="1" t="s">
        <v>43</v>
      </c>
      <c r="B38" s="19" t="s">
        <v>42</v>
      </c>
      <c r="C38" s="29">
        <f>(C18*1000)/(C33*10^4)</f>
        <v>0.52533333333333332</v>
      </c>
      <c r="D38" s="22" t="s">
        <v>13</v>
      </c>
    </row>
    <row r="39" spans="1:4" x14ac:dyDescent="0.55000000000000004">
      <c r="A39" s="1" t="s">
        <v>43</v>
      </c>
      <c r="B39" s="19" t="s">
        <v>41</v>
      </c>
      <c r="C39" s="29">
        <f>(C21*1000)/(C33*10^4)</f>
        <v>0.63555555555555554</v>
      </c>
      <c r="D39" s="22" t="s">
        <v>13</v>
      </c>
    </row>
    <row r="40" spans="1:4" x14ac:dyDescent="0.55000000000000004">
      <c r="B40" s="19" t="s">
        <v>46</v>
      </c>
      <c r="C40" s="20">
        <f>C8-10</f>
        <v>15</v>
      </c>
      <c r="D40" s="22" t="s">
        <v>15</v>
      </c>
    </row>
    <row r="41" spans="1:4" x14ac:dyDescent="0.55000000000000004">
      <c r="A41" s="1" t="s">
        <v>44</v>
      </c>
      <c r="B41" s="19" t="s">
        <v>45</v>
      </c>
      <c r="C41" s="29">
        <f>C39*C6*C40</f>
        <v>1430</v>
      </c>
      <c r="D41" s="22" t="s">
        <v>40</v>
      </c>
    </row>
    <row r="42" spans="1:4" x14ac:dyDescent="0.55000000000000004">
      <c r="B42" s="19" t="s">
        <v>47</v>
      </c>
      <c r="C42" s="29">
        <f>0.75*0.25*(C13^0.5)*C6*C40</f>
        <v>6113.54956479867</v>
      </c>
      <c r="D42" s="22" t="s">
        <v>40</v>
      </c>
    </row>
    <row r="43" spans="1:4" x14ac:dyDescent="0.55000000000000004">
      <c r="B43" s="23"/>
      <c r="C43" s="24"/>
      <c r="D43" s="22"/>
    </row>
    <row r="44" spans="1:4" x14ac:dyDescent="0.55000000000000004">
      <c r="A44" s="1" t="s">
        <v>48</v>
      </c>
      <c r="B44" s="19" t="s">
        <v>45</v>
      </c>
      <c r="C44" s="29">
        <f>C39*C46</f>
        <v>13028.888888888889</v>
      </c>
      <c r="D44" s="22" t="s">
        <v>40</v>
      </c>
    </row>
    <row r="45" spans="1:4" x14ac:dyDescent="0.55000000000000004">
      <c r="B45" s="19" t="s">
        <v>47</v>
      </c>
      <c r="C45" s="29">
        <f>(C13^0.5)*C47*C40</f>
        <v>39126.717214711476</v>
      </c>
      <c r="D45" s="22" t="s">
        <v>40</v>
      </c>
    </row>
    <row r="46" spans="1:4" x14ac:dyDescent="0.55000000000000004">
      <c r="B46" s="23" t="s">
        <v>49</v>
      </c>
      <c r="C46" s="20">
        <f>C33*10^4-C4*C5</f>
        <v>20500</v>
      </c>
      <c r="D46" s="22" t="s">
        <v>35</v>
      </c>
    </row>
    <row r="47" spans="1:4" x14ac:dyDescent="0.55000000000000004">
      <c r="B47" s="19" t="s">
        <v>50</v>
      </c>
      <c r="C47" s="20">
        <f>2*(C4+C5)</f>
        <v>180</v>
      </c>
      <c r="D47" s="22" t="s">
        <v>15</v>
      </c>
    </row>
    <row r="48" spans="1:4" x14ac:dyDescent="0.55000000000000004">
      <c r="B48" s="23"/>
      <c r="C48" s="24"/>
      <c r="D48" s="22"/>
    </row>
    <row r="49" spans="1:6" x14ac:dyDescent="0.55000000000000004">
      <c r="A49" s="1" t="s">
        <v>52</v>
      </c>
      <c r="B49" s="19" t="s">
        <v>53</v>
      </c>
      <c r="C49" s="20">
        <f>C51+C52+C53</f>
        <v>815000</v>
      </c>
      <c r="D49" s="22" t="s">
        <v>54</v>
      </c>
    </row>
    <row r="50" spans="1:6" x14ac:dyDescent="0.55000000000000004">
      <c r="B50" s="19" t="s">
        <v>55</v>
      </c>
      <c r="C50" s="20">
        <f>0.5*(C6-C4)</f>
        <v>50</v>
      </c>
      <c r="D50" s="22" t="s">
        <v>15</v>
      </c>
    </row>
    <row r="51" spans="1:6" x14ac:dyDescent="0.55000000000000004">
      <c r="B51" s="19" t="s">
        <v>58</v>
      </c>
      <c r="C51" s="20">
        <f>C21*C50*1000</f>
        <v>715000</v>
      </c>
      <c r="D51" s="22" t="s">
        <v>54</v>
      </c>
    </row>
    <row r="52" spans="1:6" x14ac:dyDescent="0.55000000000000004">
      <c r="B52" s="19" t="s">
        <v>57</v>
      </c>
      <c r="C52" s="20">
        <f>C21*1000*D9*C10</f>
        <v>0</v>
      </c>
      <c r="D52" s="22" t="s">
        <v>54</v>
      </c>
    </row>
    <row r="53" spans="1:6" x14ac:dyDescent="0.55000000000000004">
      <c r="B53" s="19" t="s">
        <v>56</v>
      </c>
      <c r="C53" s="20">
        <f>C22*1000*(C8+C12*D11)</f>
        <v>100000</v>
      </c>
      <c r="D53" s="22" t="s">
        <v>54</v>
      </c>
    </row>
    <row r="54" spans="1:6" x14ac:dyDescent="0.55000000000000004">
      <c r="B54" s="23"/>
      <c r="C54" s="24"/>
      <c r="D54" s="22"/>
    </row>
    <row r="55" spans="1:6" x14ac:dyDescent="0.55000000000000004">
      <c r="B55" s="19" t="s">
        <v>59</v>
      </c>
      <c r="C55" s="29">
        <f>F77/(0.9*C7*C40^2)</f>
        <v>19.78645596707819</v>
      </c>
      <c r="D55" s="22" t="s">
        <v>13</v>
      </c>
    </row>
    <row r="56" spans="1:6" x14ac:dyDescent="0.55000000000000004">
      <c r="B56" s="19" t="s">
        <v>60</v>
      </c>
      <c r="C56" s="30">
        <f>(0.85*C13/4000)*(1-(1-(2*C55/(0.85*C13))))</f>
        <v>9.8932279835390966E-3</v>
      </c>
      <c r="D56" s="22"/>
    </row>
    <row r="57" spans="1:6" x14ac:dyDescent="0.55000000000000004">
      <c r="B57" s="19" t="s">
        <v>61</v>
      </c>
      <c r="C57" s="30">
        <f>C56*C40/C8</f>
        <v>5.9359367901234581E-3</v>
      </c>
      <c r="D57" s="22">
        <f>IF(C57&lt;0.0018,0.0018,C57)</f>
        <v>5.9359367901234581E-3</v>
      </c>
    </row>
    <row r="58" spans="1:6" x14ac:dyDescent="0.55000000000000004">
      <c r="B58" s="19" t="s">
        <v>62</v>
      </c>
      <c r="C58" s="29">
        <f>D57*C7*C40</f>
        <v>13.35585777777778</v>
      </c>
      <c r="D58" s="22" t="s">
        <v>35</v>
      </c>
    </row>
    <row r="59" spans="1:6" x14ac:dyDescent="0.55000000000000004">
      <c r="B59" s="23"/>
      <c r="C59" s="24"/>
      <c r="D59" s="22"/>
    </row>
    <row r="60" spans="1:6" x14ac:dyDescent="0.55000000000000004">
      <c r="B60" s="23"/>
      <c r="C60" s="24"/>
      <c r="D60" s="22"/>
    </row>
    <row r="61" spans="1:6" x14ac:dyDescent="0.55000000000000004">
      <c r="B61" s="23"/>
      <c r="C61" s="24"/>
      <c r="D61" s="22"/>
    </row>
    <row r="62" spans="1:6" x14ac:dyDescent="0.55000000000000004">
      <c r="B62" s="23"/>
      <c r="C62" s="24"/>
      <c r="D62" s="22"/>
    </row>
    <row r="63" spans="1:6" x14ac:dyDescent="0.55000000000000004">
      <c r="B63" s="23"/>
      <c r="C63" s="24"/>
      <c r="D63" s="22"/>
    </row>
    <row r="64" spans="1:6" x14ac:dyDescent="0.55000000000000004">
      <c r="B64" s="23" t="s">
        <v>68</v>
      </c>
      <c r="C64" s="31">
        <f>0.5*(C6-15)-7.5</f>
        <v>60</v>
      </c>
      <c r="D64" s="22" t="s">
        <v>15</v>
      </c>
      <c r="E64" s="11"/>
      <c r="F64" s="11"/>
    </row>
    <row r="65" spans="1:7" x14ac:dyDescent="0.55000000000000004">
      <c r="B65" s="19" t="s">
        <v>65</v>
      </c>
      <c r="C65" s="31">
        <f>((0.3*4000)/((C13^0.5)*C66))*O9*0.1*2.54</f>
        <v>75.719513695517847</v>
      </c>
      <c r="D65" s="22" t="s">
        <v>15</v>
      </c>
      <c r="E65" s="11"/>
      <c r="F65" s="21">
        <f>IF(C65&lt;30,30,C65)</f>
        <v>75.719513695517847</v>
      </c>
    </row>
    <row r="66" spans="1:7" x14ac:dyDescent="0.55000000000000004">
      <c r="B66" s="19" t="s">
        <v>66</v>
      </c>
      <c r="C66" s="20">
        <f>90/O9</f>
        <v>5</v>
      </c>
      <c r="D66" s="22"/>
      <c r="E66" s="11"/>
      <c r="F66" s="11"/>
    </row>
    <row r="67" spans="1:7" x14ac:dyDescent="0.55000000000000004">
      <c r="B67" s="19" t="s">
        <v>71</v>
      </c>
      <c r="C67" s="29">
        <f>C86/C18/1000</f>
        <v>25</v>
      </c>
      <c r="D67" s="22" t="s">
        <v>15</v>
      </c>
      <c r="E67" s="23"/>
      <c r="F67" s="23"/>
      <c r="G67" s="23"/>
    </row>
    <row r="68" spans="1:7" x14ac:dyDescent="0.55000000000000004">
      <c r="B68" s="19" t="s">
        <v>69</v>
      </c>
      <c r="C68" s="20"/>
      <c r="D68" s="22" t="s">
        <v>89</v>
      </c>
      <c r="E68" s="19" t="s">
        <v>85</v>
      </c>
      <c r="F68" s="20" t="s">
        <v>53</v>
      </c>
      <c r="G68" s="23"/>
    </row>
    <row r="69" spans="1:7" x14ac:dyDescent="0.55000000000000004">
      <c r="A69" s="1" t="s">
        <v>86</v>
      </c>
      <c r="B69" s="19" t="s">
        <v>87</v>
      </c>
      <c r="C69" s="29">
        <f>(C21*1000+1.2*(C36+C26))/(C33*10^4)+(6*C86/(C7*C6^2))</f>
        <v>1.4488888888888889</v>
      </c>
      <c r="D69" s="29">
        <f>(C18*1000+(C36+C26))/(C33*10^4)+(6*C86/(C7*C6^2))</f>
        <v>1.2906666666666666</v>
      </c>
      <c r="E69" s="29">
        <f>(C69-C70)*(C6-C64)/C6*C69</f>
        <v>1.2595674074074075</v>
      </c>
      <c r="F69" s="31">
        <f>(E69+C69)*C64*0.5*A70*C7</f>
        <v>601013.6</v>
      </c>
      <c r="G69" s="23"/>
    </row>
    <row r="70" spans="1:7" x14ac:dyDescent="0.55000000000000004">
      <c r="A70" s="29">
        <f>(E69*C64^2*0.5+C69*C64^2*0.5*0.667)/((C69+E69)*C64*0.5)</f>
        <v>49.31169757489301</v>
      </c>
      <c r="B70" s="19" t="s">
        <v>88</v>
      </c>
      <c r="C70" s="29">
        <f>IF(C67=(C6/6),0,D70)</f>
        <v>0</v>
      </c>
      <c r="D70" s="29">
        <f>(C21*1000+(C36+C26))/(C33*10^4)-(6*C86/(C7*C6^2))</f>
        <v>0.35022222222222221</v>
      </c>
      <c r="E70" s="23"/>
      <c r="F70" s="23"/>
      <c r="G70" s="23"/>
    </row>
    <row r="71" spans="1:7" x14ac:dyDescent="0.55000000000000004">
      <c r="B71" s="19" t="s">
        <v>74</v>
      </c>
      <c r="C71" s="20">
        <f>C6/6</f>
        <v>25</v>
      </c>
      <c r="D71" s="22" t="s">
        <v>15</v>
      </c>
      <c r="E71" s="23"/>
      <c r="F71" s="23"/>
      <c r="G71" s="23"/>
    </row>
    <row r="72" spans="1:7" x14ac:dyDescent="0.55000000000000004">
      <c r="B72" s="19" t="s">
        <v>72</v>
      </c>
      <c r="C72" s="24"/>
      <c r="D72" s="22" t="s">
        <v>89</v>
      </c>
      <c r="E72" s="19" t="s">
        <v>85</v>
      </c>
      <c r="F72" s="20" t="s">
        <v>53</v>
      </c>
      <c r="G72" s="23"/>
    </row>
    <row r="73" spans="1:7" x14ac:dyDescent="0.55000000000000004">
      <c r="B73" s="19" t="s">
        <v>87</v>
      </c>
      <c r="C73" s="29">
        <f>2*(C21*1000+1.2*(C36+C26))/(3*C75*C7)</f>
        <v>1.8471111111111111</v>
      </c>
      <c r="D73" s="29">
        <f>2*(C18*1000+(C36+C26))/(3*C75*C7)</f>
        <v>1.5306666666666666</v>
      </c>
      <c r="E73" s="29">
        <v>0</v>
      </c>
      <c r="F73" s="31">
        <f>C73*E74^2*0.5*0.667*C7</f>
        <v>332646.24000000005</v>
      </c>
      <c r="G73" s="23"/>
    </row>
    <row r="74" spans="1:7" x14ac:dyDescent="0.55000000000000004">
      <c r="B74" s="19" t="s">
        <v>88</v>
      </c>
      <c r="C74" s="20">
        <v>0</v>
      </c>
      <c r="D74" s="22"/>
      <c r="E74" s="29">
        <f>MAX(C75,C64)</f>
        <v>60</v>
      </c>
      <c r="F74" s="23"/>
      <c r="G74" s="23"/>
    </row>
    <row r="75" spans="1:7" x14ac:dyDescent="0.55000000000000004">
      <c r="B75" s="19" t="s">
        <v>73</v>
      </c>
      <c r="C75" s="29">
        <f>0.5*C6-C67</f>
        <v>50</v>
      </c>
      <c r="D75" s="22"/>
      <c r="E75" s="23"/>
      <c r="F75" s="23"/>
      <c r="G75" s="23"/>
    </row>
    <row r="76" spans="1:7" x14ac:dyDescent="0.55000000000000004">
      <c r="B76" s="19"/>
      <c r="C76" s="20" t="s">
        <v>69</v>
      </c>
      <c r="D76" s="20" t="s">
        <v>72</v>
      </c>
      <c r="E76" s="23"/>
      <c r="F76" s="23"/>
      <c r="G76" s="23"/>
    </row>
    <row r="77" spans="1:7" x14ac:dyDescent="0.55000000000000004">
      <c r="B77" s="19" t="s">
        <v>53</v>
      </c>
      <c r="C77" s="29">
        <f>F69</f>
        <v>601013.6</v>
      </c>
      <c r="D77" s="29">
        <f>F73</f>
        <v>332646.24000000005</v>
      </c>
      <c r="E77" s="23"/>
      <c r="F77" s="31">
        <f>IF(C67&lt;=C71,C77,D77)</f>
        <v>601013.6</v>
      </c>
      <c r="G77" s="23"/>
    </row>
    <row r="78" spans="1:7" x14ac:dyDescent="0.55000000000000004">
      <c r="B78" s="19" t="s">
        <v>90</v>
      </c>
      <c r="C78" s="29">
        <f>D69</f>
        <v>1.2906666666666666</v>
      </c>
      <c r="D78" s="32">
        <f>D73</f>
        <v>1.5306666666666666</v>
      </c>
      <c r="E78" s="23"/>
      <c r="F78" s="29">
        <f>IF(C68&lt;=C72,C78,D78)</f>
        <v>1.2906666666666666</v>
      </c>
      <c r="G78" s="23"/>
    </row>
    <row r="79" spans="1:7" x14ac:dyDescent="0.55000000000000004">
      <c r="B79" s="23"/>
      <c r="C79" s="24"/>
      <c r="D79" s="22"/>
      <c r="E79" s="23"/>
      <c r="F79" s="23"/>
      <c r="G79" s="23"/>
    </row>
    <row r="80" spans="1:7" x14ac:dyDescent="0.55000000000000004">
      <c r="B80" s="23"/>
      <c r="C80" s="24"/>
      <c r="D80" s="22"/>
      <c r="E80" s="23"/>
      <c r="F80" s="23"/>
      <c r="G80" s="23"/>
    </row>
    <row r="81" spans="1:7" x14ac:dyDescent="0.55000000000000004">
      <c r="B81" s="23"/>
      <c r="C81" s="24"/>
      <c r="D81" s="22"/>
      <c r="E81" s="23"/>
      <c r="F81" s="23"/>
      <c r="G81" s="23"/>
    </row>
    <row r="82" spans="1:7" x14ac:dyDescent="0.55000000000000004">
      <c r="B82" s="23"/>
      <c r="C82" s="24"/>
      <c r="D82" s="22"/>
      <c r="E82" s="23"/>
      <c r="F82" s="23"/>
      <c r="G82" s="23"/>
    </row>
    <row r="83" spans="1:7" x14ac:dyDescent="0.55000000000000004">
      <c r="B83" s="23"/>
      <c r="C83" s="24"/>
      <c r="D83" s="22"/>
      <c r="E83" s="23"/>
      <c r="F83" s="23"/>
      <c r="G83" s="23"/>
    </row>
    <row r="84" spans="1:7" x14ac:dyDescent="0.55000000000000004">
      <c r="B84" s="23"/>
      <c r="C84" s="24"/>
      <c r="D84" s="22"/>
      <c r="E84" s="23"/>
      <c r="F84" s="23"/>
      <c r="G84" s="23"/>
    </row>
    <row r="85" spans="1:7" x14ac:dyDescent="0.55000000000000004">
      <c r="B85" s="23"/>
      <c r="C85" s="24"/>
      <c r="D85" s="22"/>
      <c r="E85" s="23"/>
      <c r="F85" s="23"/>
      <c r="G85" s="23"/>
    </row>
    <row r="86" spans="1:7" x14ac:dyDescent="0.55000000000000004">
      <c r="A86" s="1" t="s">
        <v>70</v>
      </c>
      <c r="B86" s="19" t="s">
        <v>81</v>
      </c>
      <c r="C86" s="20">
        <f>C88+C89+C90</f>
        <v>295500</v>
      </c>
      <c r="D86" s="22" t="s">
        <v>54</v>
      </c>
      <c r="E86" s="23"/>
      <c r="F86" s="23"/>
      <c r="G86" s="23"/>
    </row>
    <row r="87" spans="1:7" x14ac:dyDescent="0.55000000000000004">
      <c r="B87" s="19" t="s">
        <v>55</v>
      </c>
      <c r="C87" s="20">
        <f>0.5*(C6-C4)</f>
        <v>50</v>
      </c>
      <c r="D87" s="22" t="s">
        <v>15</v>
      </c>
      <c r="E87" s="23"/>
      <c r="F87" s="23"/>
      <c r="G87" s="23"/>
    </row>
    <row r="88" spans="1:7" x14ac:dyDescent="0.55000000000000004">
      <c r="B88" s="19" t="s">
        <v>58</v>
      </c>
      <c r="C88" s="20">
        <v>0</v>
      </c>
      <c r="D88" s="22" t="s">
        <v>54</v>
      </c>
      <c r="E88" s="23"/>
      <c r="F88" s="23"/>
      <c r="G88" s="23"/>
    </row>
    <row r="89" spans="1:7" x14ac:dyDescent="0.55000000000000004">
      <c r="B89" s="19" t="s">
        <v>57</v>
      </c>
      <c r="C89" s="20">
        <f>C18*1000*D9*C10</f>
        <v>0</v>
      </c>
      <c r="D89" s="22" t="s">
        <v>54</v>
      </c>
      <c r="E89" s="23"/>
      <c r="F89" s="23"/>
      <c r="G89" s="23"/>
    </row>
    <row r="90" spans="1:7" x14ac:dyDescent="0.55000000000000004">
      <c r="B90" s="19" t="s">
        <v>56</v>
      </c>
      <c r="C90" s="20">
        <f>C19*1000*(C8+C12*D11)</f>
        <v>295500</v>
      </c>
      <c r="D90" s="22" t="s">
        <v>54</v>
      </c>
      <c r="E90" s="23"/>
      <c r="F90" s="23"/>
      <c r="G90" s="23"/>
    </row>
    <row r="91" spans="1:7" x14ac:dyDescent="0.55000000000000004">
      <c r="B91" s="23"/>
      <c r="C91" s="24"/>
      <c r="D91" s="22"/>
      <c r="E91" s="23"/>
      <c r="F91" s="23"/>
      <c r="G91" s="23"/>
    </row>
    <row r="92" spans="1:7" x14ac:dyDescent="0.55000000000000004">
      <c r="B92" s="23"/>
      <c r="C92" s="24"/>
      <c r="D92" s="22"/>
      <c r="E92" s="23"/>
      <c r="F92" s="23"/>
      <c r="G92" s="23"/>
    </row>
    <row r="93" spans="1:7" x14ac:dyDescent="0.55000000000000004">
      <c r="A93" s="19" t="s">
        <v>77</v>
      </c>
      <c r="B93" s="19" t="s">
        <v>53</v>
      </c>
      <c r="C93" s="20">
        <f>C49</f>
        <v>815000</v>
      </c>
      <c r="D93" s="22" t="s">
        <v>54</v>
      </c>
      <c r="E93" s="23"/>
      <c r="F93" s="23"/>
      <c r="G93" s="23"/>
    </row>
    <row r="94" spans="1:7" x14ac:dyDescent="0.55000000000000004">
      <c r="B94" s="19" t="s">
        <v>78</v>
      </c>
      <c r="C94" s="24"/>
      <c r="D94" s="22"/>
      <c r="E94" s="23"/>
      <c r="F94" s="23"/>
      <c r="G94" s="23"/>
    </row>
    <row r="95" spans="1:7" x14ac:dyDescent="0.55000000000000004">
      <c r="B95" s="19" t="s">
        <v>79</v>
      </c>
      <c r="C95" s="24"/>
      <c r="D95" s="22"/>
      <c r="E95" s="23"/>
      <c r="F95" s="23"/>
      <c r="G95" s="23"/>
    </row>
    <row r="96" spans="1:7" x14ac:dyDescent="0.55000000000000004">
      <c r="B96" s="19" t="s">
        <v>80</v>
      </c>
      <c r="C96" s="20">
        <f>(C93*6/(0.6*0.27*5*C13^0.5*C6))^0.5</f>
        <v>52.700103350521502</v>
      </c>
      <c r="D96" s="22" t="s">
        <v>15</v>
      </c>
      <c r="E96" s="23"/>
      <c r="F96" s="23"/>
      <c r="G96" s="23"/>
    </row>
    <row r="97" spans="2:7" x14ac:dyDescent="0.55000000000000004">
      <c r="B97" s="23"/>
      <c r="C97" s="24"/>
      <c r="D97" s="22"/>
      <c r="E97" s="23"/>
      <c r="F97" s="23"/>
      <c r="G97" s="23"/>
    </row>
    <row r="98" spans="2:7" x14ac:dyDescent="0.55000000000000004">
      <c r="B98" s="23"/>
      <c r="C98" s="24"/>
      <c r="D98" s="22"/>
      <c r="E98" s="23"/>
      <c r="F98" s="23"/>
      <c r="G98" s="23"/>
    </row>
    <row r="99" spans="2:7" x14ac:dyDescent="0.55000000000000004">
      <c r="B99" s="23"/>
      <c r="C99" s="24"/>
      <c r="D99" s="22"/>
      <c r="E99" s="23"/>
      <c r="F99" s="23"/>
      <c r="G99" s="23"/>
    </row>
    <row r="100" spans="2:7" x14ac:dyDescent="0.55000000000000004">
      <c r="B100" s="23"/>
      <c r="C100" s="24"/>
      <c r="D100" s="22"/>
      <c r="E100" s="23"/>
      <c r="F100" s="23"/>
      <c r="G100" s="23"/>
    </row>
    <row r="101" spans="2:7" x14ac:dyDescent="0.55000000000000004">
      <c r="B101" s="23"/>
      <c r="C101" s="24"/>
      <c r="D101" s="22"/>
      <c r="E101" s="23"/>
      <c r="F101" s="23"/>
      <c r="G101" s="23"/>
    </row>
    <row r="102" spans="2:7" x14ac:dyDescent="0.55000000000000004">
      <c r="B102" s="23"/>
      <c r="C102" s="24"/>
      <c r="D102" s="22"/>
      <c r="E102" s="23"/>
      <c r="F102" s="23"/>
      <c r="G102" s="23"/>
    </row>
    <row r="103" spans="2:7" x14ac:dyDescent="0.55000000000000004">
      <c r="B103" s="23"/>
      <c r="C103" s="24"/>
      <c r="D103" s="22"/>
      <c r="E103" s="23"/>
      <c r="F103" s="23"/>
      <c r="G103" s="23"/>
    </row>
    <row r="104" spans="2:7" x14ac:dyDescent="0.55000000000000004">
      <c r="B104" s="23"/>
      <c r="C104" s="24"/>
      <c r="D104" s="22"/>
      <c r="E104" s="23"/>
      <c r="F104" s="23"/>
      <c r="G104" s="23"/>
    </row>
    <row r="105" spans="2:7" x14ac:dyDescent="0.55000000000000004">
      <c r="B105" s="23"/>
      <c r="C105" s="24"/>
      <c r="D105" s="22"/>
      <c r="E105" s="23"/>
      <c r="F105" s="23"/>
      <c r="G105" s="23"/>
    </row>
  </sheetData>
  <sheetProtection algorithmName="SHA-512" hashValue="QqtbKeGwZBNEPtiSO/m3+vBNiNlninnT/JXUW+ybByYG69EJI2J0PBqeoBAtCr5/6BrWmiDgUxFRJkysn4mPgw==" saltValue="suDlxJoo2jTItbRky+4Djw==" spinCount="100000" sheet="1" objects="1" scenarios="1" selectLockedCells="1"/>
  <dataValidations count="4">
    <dataValidation type="list" allowBlank="1" showInputMessage="1" showErrorMessage="1" sqref="C15">
      <formula1>$K$6:$K$8</formula1>
    </dataValidation>
    <dataValidation type="list" allowBlank="1" showInputMessage="1" showErrorMessage="1" sqref="C9">
      <formula1>$K$10:$K$11</formula1>
    </dataValidation>
    <dataValidation type="list" allowBlank="1" showInputMessage="1" showErrorMessage="1" sqref="C11">
      <formula1>$K$13:$K$14</formula1>
    </dataValidation>
    <dataValidation type="list" allowBlank="1" showInputMessage="1" showErrorMessage="1" sqref="O9">
      <formula1>$M$15:$M$18</formula1>
    </dataValidation>
  </dataValidations>
  <pageMargins left="0.7" right="0.7" top="0.75" bottom="0.75" header="0.3" footer="0.3"/>
  <pageSetup paperSize="1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2018-08-26T06:51:32Z</dcterms:created>
  <dcterms:modified xsi:type="dcterms:W3CDTF">2019-04-06T06:12:15Z</dcterms:modified>
</cp:coreProperties>
</file>