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070" windowHeight="7860" tabRatio="713" activeTab="6"/>
  </bookViews>
  <sheets>
    <sheet name="اشتال" sheetId="10" r:id="rId1"/>
    <sheet name="ستون" sheetId="2" r:id="rId2"/>
    <sheet name="تیر" sheetId="3" r:id="rId3"/>
    <sheet name="طرح تقویت تیر" sheetId="4" r:id="rId4"/>
    <sheet name="تیرستون" sheetId="5" r:id="rId5"/>
    <sheet name="تیرستون با بست موازی" sheetId="6" r:id="rId6"/>
    <sheet name="صفحه ستون" sheetId="11" r:id="rId7"/>
  </sheets>
  <calcPr calcId="124519"/>
</workbook>
</file>

<file path=xl/calcChain.xml><?xml version="1.0" encoding="utf-8"?>
<calcChain xmlns="http://schemas.openxmlformats.org/spreadsheetml/2006/main">
  <c r="F74" i="11"/>
  <c r="G85"/>
  <c r="G131"/>
  <c r="F102"/>
  <c r="AB88"/>
  <c r="G104"/>
  <c r="C102"/>
  <c r="G111"/>
  <c r="C122"/>
  <c r="G91"/>
  <c r="G93"/>
  <c r="G92"/>
  <c r="W84" s="1"/>
  <c r="G90"/>
  <c r="W83" s="1"/>
  <c r="J92"/>
  <c r="J90"/>
  <c r="F111"/>
  <c r="C125" s="1"/>
  <c r="F125" s="1"/>
  <c r="I125" s="1"/>
  <c r="F14" i="5"/>
  <c r="G77" i="11"/>
  <c r="G74"/>
  <c r="I72"/>
  <c r="D72"/>
  <c r="H64"/>
  <c r="G57"/>
  <c r="G48"/>
  <c r="C48"/>
  <c r="G50" s="1"/>
  <c r="G53" s="1"/>
  <c r="E35"/>
  <c r="E32"/>
  <c r="I35"/>
  <c r="I32"/>
  <c r="F38" s="1"/>
  <c r="D42" i="6"/>
  <c r="G22"/>
  <c r="G33" i="3"/>
  <c r="I56" i="6"/>
  <c r="D48"/>
  <c r="D23" i="5"/>
  <c r="G36" i="6"/>
  <c r="F15"/>
  <c r="C48"/>
  <c r="C45"/>
  <c r="G39"/>
  <c r="G26"/>
  <c r="H29" s="1"/>
  <c r="E65"/>
  <c r="F53"/>
  <c r="D50"/>
  <c r="E18"/>
  <c r="E62"/>
  <c r="C15"/>
  <c r="I42" s="1"/>
  <c r="I29" i="5"/>
  <c r="E26"/>
  <c r="C14"/>
  <c r="Y12" s="1"/>
  <c r="E35"/>
  <c r="E39"/>
  <c r="D16"/>
  <c r="D18" i="2"/>
  <c r="G15" i="3"/>
  <c r="E17" s="1"/>
  <c r="H17" s="1"/>
  <c r="H13"/>
  <c r="G42"/>
  <c r="G39"/>
  <c r="G35"/>
  <c r="D39"/>
  <c r="D42" s="1"/>
  <c r="I42" s="1"/>
  <c r="E24"/>
  <c r="C20"/>
  <c r="H21"/>
  <c r="D15" i="2"/>
  <c r="G22" s="1"/>
  <c r="C26"/>
  <c r="F150" i="11" l="1"/>
  <c r="G135"/>
  <c r="B128"/>
  <c r="G128" s="1"/>
  <c r="D135"/>
  <c r="E131"/>
  <c r="AB87"/>
  <c r="I102"/>
  <c r="E99"/>
  <c r="H60"/>
  <c r="F77"/>
  <c r="H74"/>
  <c r="H77"/>
  <c r="G94"/>
  <c r="I99" s="1"/>
  <c r="G20" i="5"/>
  <c r="F26" i="2"/>
  <c r="H26" s="1"/>
  <c r="F48" i="6"/>
  <c r="D29"/>
  <c r="D39" s="1"/>
  <c r="I39" s="1"/>
  <c r="D36"/>
  <c r="I36" s="1"/>
  <c r="G45"/>
  <c r="I45" s="1"/>
  <c r="I39" i="3"/>
  <c r="G24"/>
  <c r="D64" i="11" l="1"/>
  <c r="J64" s="1"/>
  <c r="G139"/>
  <c r="G132"/>
  <c r="I131"/>
  <c r="H150"/>
  <c r="H152" s="1"/>
  <c r="C146"/>
  <c r="G146" s="1"/>
  <c r="E138"/>
  <c r="I138" s="1"/>
  <c r="E104"/>
  <c r="G23" i="5"/>
  <c r="G50" i="6"/>
  <c r="G77"/>
  <c r="I77" s="1"/>
  <c r="F68"/>
  <c r="I69" s="1"/>
  <c r="G73"/>
  <c r="I73" s="1"/>
  <c r="G105" i="11" l="1"/>
  <c r="I104"/>
  <c r="F43" i="5"/>
  <c r="I43" s="1"/>
  <c r="G47"/>
  <c r="I47" s="1"/>
  <c r="G51"/>
  <c r="I51" s="1"/>
</calcChain>
</file>

<file path=xl/sharedStrings.xml><?xml version="1.0" encoding="utf-8"?>
<sst xmlns="http://schemas.openxmlformats.org/spreadsheetml/2006/main" count="245" uniqueCount="145">
  <si>
    <t>IPE  nom,</t>
  </si>
  <si>
    <t>h  (m.m)</t>
  </si>
  <si>
    <t>b (m.m)</t>
  </si>
  <si>
    <t>s (m.m)</t>
  </si>
  <si>
    <t>t (m.m)</t>
  </si>
  <si>
    <t>r (m.m)</t>
  </si>
  <si>
    <t>c (k) (m.m)</t>
  </si>
  <si>
    <t>A(cm2)</t>
  </si>
  <si>
    <t>Ix (cm4)</t>
  </si>
  <si>
    <t>Sx (cm3)</t>
  </si>
  <si>
    <t>rx (cm)</t>
  </si>
  <si>
    <t>Iy (cm4)</t>
  </si>
  <si>
    <t>Sy (cm3)</t>
  </si>
  <si>
    <t>ry (cm)</t>
  </si>
  <si>
    <t>(d1)</t>
  </si>
  <si>
    <t>w1</t>
  </si>
  <si>
    <t>20..5</t>
  </si>
  <si>
    <t>UNP nom,</t>
  </si>
  <si>
    <t>t=r1 (m.m)</t>
  </si>
  <si>
    <t>r2 (m.m)</t>
  </si>
  <si>
    <t>L  nom,</t>
  </si>
  <si>
    <t>r1 (m.m)</t>
  </si>
  <si>
    <t>A (cm2)</t>
  </si>
  <si>
    <t>e (m.m)</t>
  </si>
  <si>
    <t>Ix=Iy (cm4)</t>
  </si>
  <si>
    <t>Sx=Sy (cm3)</t>
  </si>
  <si>
    <t>rx=ry (cm)</t>
  </si>
  <si>
    <r>
      <t>r</t>
    </r>
    <r>
      <rPr>
        <sz val="11"/>
        <color theme="1"/>
        <rFont val="Calibri"/>
        <family val="2"/>
      </rPr>
      <t>ξ (cm)</t>
    </r>
  </si>
  <si>
    <r>
      <t>r</t>
    </r>
    <r>
      <rPr>
        <sz val="11"/>
        <color theme="1"/>
        <rFont val="Calibri"/>
        <family val="2"/>
      </rPr>
      <t>η (cm)</t>
    </r>
  </si>
  <si>
    <t>d1</t>
  </si>
  <si>
    <t>60x60x6</t>
  </si>
  <si>
    <t>80x80x8</t>
  </si>
  <si>
    <t>100x100x10</t>
  </si>
  <si>
    <t>120x120x12</t>
  </si>
  <si>
    <t>user</t>
  </si>
  <si>
    <t>P=</t>
  </si>
  <si>
    <t>K=</t>
  </si>
  <si>
    <t>L=</t>
  </si>
  <si>
    <t>FY=</t>
  </si>
  <si>
    <t>IPE</t>
  </si>
  <si>
    <t>k.g</t>
  </si>
  <si>
    <t>c.m</t>
  </si>
  <si>
    <t>kg/cm2</t>
  </si>
  <si>
    <t>نام مقطع</t>
  </si>
  <si>
    <t>طبقه</t>
  </si>
  <si>
    <t>B5</t>
  </si>
  <si>
    <t>M=</t>
  </si>
  <si>
    <t>V=</t>
  </si>
  <si>
    <t>T</t>
  </si>
  <si>
    <t>T/m</t>
  </si>
  <si>
    <t>White Sx=</t>
  </si>
  <si>
    <t>C.m3</t>
  </si>
  <si>
    <t>کنترل برش در تیر</t>
  </si>
  <si>
    <t>kg/c.m2</t>
  </si>
  <si>
    <t>→</t>
  </si>
  <si>
    <t>نوع گیرداری تیر</t>
  </si>
  <si>
    <t>β=</t>
  </si>
  <si>
    <t>Ix=</t>
  </si>
  <si>
    <t>c.m4</t>
  </si>
  <si>
    <t>W(D+L)=</t>
  </si>
  <si>
    <t>W(L)=</t>
  </si>
  <si>
    <t>m</t>
  </si>
  <si>
    <t>T.m</t>
  </si>
  <si>
    <t>طراحی تیر با مقطع فشرده</t>
  </si>
  <si>
    <t>کنترل تغییر مکان تیر</t>
  </si>
  <si>
    <t>KX=</t>
  </si>
  <si>
    <t>KY=</t>
  </si>
  <si>
    <t>USER</t>
  </si>
  <si>
    <t>2I300P400X10P300X10</t>
  </si>
  <si>
    <t>2I300P400X20P300X20</t>
  </si>
  <si>
    <t>2I300</t>
  </si>
  <si>
    <t>4L120+4P 400X10</t>
  </si>
  <si>
    <t>4L120+4P 400X15</t>
  </si>
  <si>
    <t>4L120+4P 350X15</t>
  </si>
  <si>
    <t>4L120</t>
  </si>
  <si>
    <t>4L120+4P 300X20</t>
  </si>
  <si>
    <t>4L120+4P 300X15</t>
  </si>
  <si>
    <t>4L120+4P 300X10</t>
  </si>
  <si>
    <t>4L120+4P 200X5</t>
  </si>
  <si>
    <t>L1=</t>
  </si>
  <si>
    <t>C.m</t>
  </si>
  <si>
    <t>t=</t>
  </si>
  <si>
    <t>h=</t>
  </si>
  <si>
    <t>Column1</t>
  </si>
  <si>
    <t>Column2</t>
  </si>
  <si>
    <t>Column3</t>
  </si>
  <si>
    <t>Column4</t>
  </si>
  <si>
    <t>طراحی و کنترل بست های موازی</t>
  </si>
  <si>
    <t>4L60+4P 150X15</t>
  </si>
  <si>
    <t>4L60+4P 150X10</t>
  </si>
  <si>
    <t>4L60+4P 150X5</t>
  </si>
  <si>
    <t>4L60</t>
  </si>
  <si>
    <t>طراحی تیر ستون</t>
  </si>
  <si>
    <t>Ton</t>
  </si>
  <si>
    <t>Ton.m</t>
  </si>
  <si>
    <t>طراحی تیر  ستون دارای بست موازی</t>
  </si>
  <si>
    <t>c14</t>
  </si>
  <si>
    <t>طراحی ستون</t>
  </si>
  <si>
    <t>طره ای</t>
  </si>
  <si>
    <t>ZY (cm)3</t>
  </si>
  <si>
    <t>ZX(cm)3</t>
  </si>
  <si>
    <t>کنترل برش میل مهارها</t>
  </si>
  <si>
    <t>تعداد میل مهار ها در هر راستا</t>
  </si>
  <si>
    <t>اندازه قطر میل مهار ها</t>
  </si>
  <si>
    <t xml:space="preserve">اندازه ضخامت صفحه ستون </t>
  </si>
  <si>
    <t>اندازه صفحه ستون در راستایy</t>
  </si>
  <si>
    <t>اندازه صفحه ستون در راستای x</t>
  </si>
  <si>
    <t>نتایج</t>
  </si>
  <si>
    <t>طراحی صفحه ستون تحت خمش دو محوره</t>
  </si>
  <si>
    <t>نوع مقطع</t>
  </si>
  <si>
    <t>kg.cm</t>
  </si>
  <si>
    <t>kg</t>
  </si>
  <si>
    <r>
      <t>برش در جان با پسوند</t>
    </r>
    <r>
      <rPr>
        <sz val="20"/>
        <color theme="9" tint="-0.499984740745262"/>
        <rFont val="Adobe Arabic"/>
        <family val="1"/>
      </rPr>
      <t>1</t>
    </r>
    <r>
      <rPr>
        <sz val="20"/>
        <color theme="9" tint="-0.499984740745262"/>
        <rFont val="IranNastaliq"/>
        <family val="1"/>
        <charset val="204"/>
      </rPr>
      <t xml:space="preserve"> وبرش در بال با پسوند </t>
    </r>
    <r>
      <rPr>
        <sz val="20"/>
        <color theme="9" tint="-0.499984740745262"/>
        <rFont val="Adobe Arabic"/>
        <family val="1"/>
      </rPr>
      <t>2</t>
    </r>
    <r>
      <rPr>
        <sz val="20"/>
        <color theme="9" tint="-0.499984740745262"/>
        <rFont val="IranNastaliq"/>
        <family val="1"/>
        <charset val="204"/>
      </rPr>
      <t xml:space="preserve"> نمایش داده شده است</t>
    </r>
  </si>
  <si>
    <t>c.m2</t>
  </si>
  <si>
    <t>Aw (cm)2</t>
  </si>
  <si>
    <t>Af (cm)2</t>
  </si>
  <si>
    <t>برش پلاستیک</t>
  </si>
  <si>
    <t>برش متناظر با تسلیم برشی</t>
  </si>
  <si>
    <t>برش بیشینه ناشی از تحلیل</t>
  </si>
  <si>
    <t>m.m</t>
  </si>
  <si>
    <t>کنترل ابعاد کلی صفحه و قطر و تعداد  و آرایش میل مهارها با نرم افزار</t>
  </si>
  <si>
    <t>تنش تسلیم میل مهار ها</t>
  </si>
  <si>
    <t>k.g/c.m2</t>
  </si>
  <si>
    <t>کنترل فواصل میل مهارها</t>
  </si>
  <si>
    <t>حداقل فاصله پیچ ها از یکدیگر</t>
  </si>
  <si>
    <t>حداقل فاصله پیچ ها ازلبه</t>
  </si>
  <si>
    <r>
      <t xml:space="preserve">حداقل اندازه صفحه ستون در راستای  </t>
    </r>
    <r>
      <rPr>
        <sz val="18"/>
        <color theme="1"/>
        <rFont val="Calibri"/>
        <family val="2"/>
        <charset val="204"/>
        <scheme val="minor"/>
      </rPr>
      <t>y</t>
    </r>
  </si>
  <si>
    <r>
      <t xml:space="preserve">حداقل اندازه صفحه ستون در راستای  </t>
    </r>
    <r>
      <rPr>
        <sz val="18"/>
        <color theme="1"/>
        <rFont val="Calibri"/>
        <family val="2"/>
        <charset val="204"/>
        <scheme val="minor"/>
      </rPr>
      <t>x</t>
    </r>
  </si>
  <si>
    <t>کنترل ضخامت صفحه ستون</t>
  </si>
  <si>
    <t>ستون</t>
  </si>
  <si>
    <t>مقاومت فشاری بتن</t>
  </si>
  <si>
    <t>مشخصات</t>
  </si>
  <si>
    <t>a=</t>
  </si>
  <si>
    <t>b=</t>
  </si>
  <si>
    <t>c=</t>
  </si>
  <si>
    <t>d=</t>
  </si>
  <si>
    <t>e=</t>
  </si>
  <si>
    <t>تعداد ورق های تقویتی</t>
  </si>
  <si>
    <r>
      <t>چون بال</t>
    </r>
    <r>
      <rPr>
        <sz val="20"/>
        <color theme="9" tint="-0.499984740745262"/>
        <rFont val="B Nazanin"/>
        <charset val="178"/>
      </rPr>
      <t>،</t>
    </r>
    <r>
      <rPr>
        <sz val="20"/>
        <color theme="9" tint="-0.499984740745262"/>
        <rFont val="IranNastaliq"/>
        <family val="1"/>
        <charset val="204"/>
      </rPr>
      <t xml:space="preserve">سهم خیلی کمتری را در تحمل برش دارد وبرش متناظر با تسلیم برشی در میل مهارها   زیاد بحرانی نیست نسبت بالا   را </t>
    </r>
    <r>
      <rPr>
        <sz val="20"/>
        <color theme="9" tint="-0.499984740745262"/>
        <rFont val="Adobe Arabic"/>
        <family val="1"/>
      </rPr>
      <t>15</t>
    </r>
    <r>
      <rPr>
        <sz val="20"/>
        <color theme="9" tint="-0.499984740745262"/>
        <rFont val="IranNastaliq"/>
        <family val="1"/>
        <charset val="204"/>
      </rPr>
      <t xml:space="preserve"> فرض کردیم</t>
    </r>
  </si>
  <si>
    <t>c.m3</t>
  </si>
  <si>
    <t>کنترل برش و خمش در مقطع سپری</t>
  </si>
  <si>
    <t>کنترل جوش ها</t>
  </si>
  <si>
    <t>kg/cm</t>
  </si>
  <si>
    <t>نوع الکترود</t>
  </si>
  <si>
    <t>4l120+4p 300x30</t>
  </si>
</sst>
</file>

<file path=xl/styles.xml><?xml version="1.0" encoding="utf-8"?>
<styleSheet xmlns="http://schemas.openxmlformats.org/spreadsheetml/2006/main">
  <fonts count="47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7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IranNastaliq"/>
      <family val="1"/>
      <charset val="204"/>
    </font>
    <font>
      <sz val="18"/>
      <color theme="1"/>
      <name val="Cambria"/>
      <family val="1"/>
      <charset val="204"/>
      <scheme val="major"/>
    </font>
    <font>
      <sz val="14"/>
      <color theme="1"/>
      <name val="Calibri"/>
      <family val="2"/>
      <charset val="204"/>
    </font>
    <font>
      <sz val="16"/>
      <color theme="1"/>
      <name val="Calibri"/>
      <family val="2"/>
      <charset val="204"/>
    </font>
    <font>
      <sz val="20"/>
      <color theme="1"/>
      <name val="IranNastaliq"/>
      <family val="1"/>
      <charset val="204"/>
    </font>
    <font>
      <sz val="24"/>
      <color theme="1"/>
      <name val="IranNastaliq"/>
      <family val="1"/>
      <charset val="204"/>
    </font>
    <font>
      <sz val="18"/>
      <name val="Calibri"/>
      <family val="2"/>
      <scheme val="minor"/>
    </font>
    <font>
      <sz val="26"/>
      <color theme="1"/>
      <name val="IranNastaliq"/>
      <family val="1"/>
      <charset val="204"/>
    </font>
    <font>
      <sz val="36"/>
      <color theme="1"/>
      <name val="IranNastaliq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scheme val="minor"/>
    </font>
    <font>
      <sz val="16"/>
      <color theme="1"/>
      <name val="IranNastaliq"/>
      <family val="1"/>
      <charset val="204"/>
    </font>
    <font>
      <sz val="18"/>
      <color theme="1"/>
      <name val="Calibri"/>
      <family val="2"/>
      <scheme val="minor"/>
    </font>
    <font>
      <sz val="12"/>
      <color theme="1"/>
      <name val="IranNastaliq"/>
      <family val="1"/>
      <charset val="204"/>
    </font>
    <font>
      <sz val="48"/>
      <color theme="1"/>
      <name val="IranNastaliq"/>
      <family val="1"/>
      <charset val="204"/>
    </font>
    <font>
      <b/>
      <sz val="14"/>
      <color theme="9" tint="-0.499984740745262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22"/>
      <color theme="1"/>
      <name val="IranNastaliq"/>
      <family val="1"/>
      <charset val="204"/>
    </font>
    <font>
      <sz val="12"/>
      <color theme="1"/>
      <name val="Mj_Nil 1"/>
      <charset val="178"/>
    </font>
    <font>
      <sz val="20"/>
      <color theme="1"/>
      <name val="Calibri"/>
      <family val="2"/>
      <scheme val="minor"/>
    </font>
    <font>
      <sz val="14"/>
      <color theme="1"/>
      <name val="IranNastaliq"/>
      <family val="1"/>
      <charset val="204"/>
    </font>
    <font>
      <sz val="18"/>
      <color theme="1"/>
      <name val="IranNastaliq"/>
      <family val="1"/>
      <charset val="204"/>
    </font>
    <font>
      <sz val="20"/>
      <color theme="9" tint="-0.499984740745262"/>
      <name val="IranNastaliq"/>
      <family val="1"/>
      <charset val="204"/>
    </font>
    <font>
      <sz val="20"/>
      <color theme="9" tint="-0.499984740745262"/>
      <name val="B Nazanin"/>
      <charset val="178"/>
    </font>
    <font>
      <sz val="20"/>
      <color theme="9" tint="-0.499984740745262"/>
      <name val="Adobe Arabic"/>
      <family val="1"/>
    </font>
    <font>
      <sz val="14"/>
      <name val="IranNastaliq"/>
      <family val="1"/>
      <charset val="204"/>
    </font>
    <font>
      <b/>
      <sz val="16"/>
      <color theme="9" tint="-0.49998474074526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charset val="204"/>
      <scheme val="minor"/>
    </font>
    <font>
      <sz val="18"/>
      <color theme="1"/>
      <name val="IranNastaliq"/>
      <family val="1"/>
    </font>
    <font>
      <sz val="20"/>
      <color theme="1"/>
      <name val="IranNastaliq"/>
      <family val="1"/>
    </font>
    <font>
      <sz val="18"/>
      <color theme="9" tint="-0.499984740745262"/>
      <name val="IranNastaliq"/>
      <family val="1"/>
    </font>
    <font>
      <b/>
      <sz val="11"/>
      <color theme="9" tint="-0.499984740745262"/>
      <name val="Calibri"/>
      <family val="2"/>
      <scheme val="minor"/>
    </font>
    <font>
      <sz val="20"/>
      <color theme="9" tint="-0.499984740745262"/>
      <name val="IranNastaliq"/>
      <family val="1"/>
    </font>
    <font>
      <b/>
      <sz val="12"/>
      <color theme="9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quotePrefix="1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/>
    <xf numFmtId="0" fontId="0" fillId="0" borderId="0" xfId="0" applyAlignment="1"/>
    <xf numFmtId="0" fontId="0" fillId="3" borderId="0" xfId="0" applyFill="1"/>
    <xf numFmtId="0" fontId="14" fillId="3" borderId="0" xfId="0" applyFont="1" applyFill="1" applyAlignment="1">
      <alignment horizontal="center" vertical="center"/>
    </xf>
    <xf numFmtId="0" fontId="0" fillId="3" borderId="0" xfId="0" applyFill="1" applyAlignment="1"/>
    <xf numFmtId="0" fontId="3" fillId="3" borderId="0" xfId="0" applyFont="1" applyFill="1" applyAlignment="1">
      <alignment horizontal="righ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1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0" xfId="0" applyFont="1" applyFill="1" applyAlignment="1">
      <alignment horizontal="right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left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14" fillId="3" borderId="0" xfId="0" applyFont="1" applyFill="1" applyAlignment="1">
      <alignment horizontal="center"/>
    </xf>
    <xf numFmtId="0" fontId="3" fillId="3" borderId="0" xfId="0" applyFont="1" applyFill="1"/>
    <xf numFmtId="0" fontId="18" fillId="3" borderId="0" xfId="0" applyFont="1" applyFill="1" applyAlignment="1">
      <alignment horizontal="center"/>
    </xf>
    <xf numFmtId="0" fontId="18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/>
    </xf>
    <xf numFmtId="0" fontId="4" fillId="3" borderId="0" xfId="0" applyFont="1" applyFill="1" applyAlignment="1">
      <alignment horizontal="right"/>
    </xf>
    <xf numFmtId="0" fontId="19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1" fillId="3" borderId="0" xfId="0" applyFont="1" applyFill="1"/>
    <xf numFmtId="0" fontId="19" fillId="3" borderId="0" xfId="0" applyFont="1" applyFill="1"/>
    <xf numFmtId="0" fontId="0" fillId="0" borderId="0" xfId="0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4" fillId="3" borderId="0" xfId="0" applyFont="1" applyFill="1"/>
    <xf numFmtId="0" fontId="24" fillId="3" borderId="0" xfId="0" applyFont="1" applyFill="1"/>
    <xf numFmtId="0" fontId="4" fillId="3" borderId="0" xfId="0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/>
    <xf numFmtId="0" fontId="8" fillId="3" borderId="0" xfId="0" applyFont="1" applyFill="1"/>
    <xf numFmtId="0" fontId="6" fillId="3" borderId="0" xfId="0" applyFont="1" applyFill="1" applyAlignment="1">
      <alignment horizontal="right" readingOrder="2"/>
    </xf>
    <xf numFmtId="0" fontId="3" fillId="3" borderId="0" xfId="0" applyFont="1" applyFill="1" applyAlignment="1"/>
    <xf numFmtId="0" fontId="0" fillId="3" borderId="0" xfId="0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12" fillId="3" borderId="0" xfId="0" applyFont="1" applyFill="1"/>
    <xf numFmtId="0" fontId="13" fillId="3" borderId="0" xfId="0" applyFont="1" applyFill="1" applyAlignment="1">
      <alignment vertical="top"/>
    </xf>
    <xf numFmtId="0" fontId="14" fillId="3" borderId="0" xfId="0" applyFont="1" applyFill="1" applyAlignment="1">
      <alignment vertical="top"/>
    </xf>
    <xf numFmtId="0" fontId="25" fillId="3" borderId="0" xfId="0" applyFont="1" applyFill="1" applyAlignment="1"/>
    <xf numFmtId="0" fontId="0" fillId="3" borderId="0" xfId="0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left"/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right"/>
      <protection locked="0"/>
    </xf>
    <xf numFmtId="0" fontId="0" fillId="2" borderId="0" xfId="0" applyFill="1" applyAlignment="1" applyProtection="1">
      <alignment horizontal="center"/>
      <protection locked="0"/>
    </xf>
    <xf numFmtId="0" fontId="15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21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0" fillId="4" borderId="0" xfId="0" applyFill="1" applyProtection="1"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4" fillId="3" borderId="0" xfId="0" applyFont="1" applyFill="1" applyAlignment="1"/>
    <xf numFmtId="0" fontId="28" fillId="3" borderId="0" xfId="0" applyFont="1" applyFill="1" applyAlignment="1"/>
    <xf numFmtId="0" fontId="29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8" fillId="3" borderId="0" xfId="0" applyFont="1" applyFill="1" applyAlignment="1">
      <alignment horizontal="center"/>
    </xf>
    <xf numFmtId="0" fontId="33" fillId="3" borderId="0" xfId="0" applyFont="1" applyFill="1"/>
    <xf numFmtId="0" fontId="33" fillId="3" borderId="0" xfId="0" applyFont="1" applyFill="1" applyAlignment="1"/>
    <xf numFmtId="0" fontId="33" fillId="3" borderId="0" xfId="0" applyFont="1" applyFill="1" applyAlignment="1">
      <alignment horizontal="center"/>
    </xf>
    <xf numFmtId="0" fontId="38" fillId="3" borderId="0" xfId="0" applyFont="1" applyFill="1"/>
    <xf numFmtId="0" fontId="3" fillId="3" borderId="0" xfId="0" applyFont="1" applyFill="1" applyAlignment="1">
      <alignment vertical="center"/>
    </xf>
    <xf numFmtId="0" fontId="37" fillId="3" borderId="0" xfId="0" applyFont="1" applyFill="1" applyAlignment="1">
      <alignment horizontal="center"/>
    </xf>
    <xf numFmtId="0" fontId="32" fillId="3" borderId="0" xfId="0" applyFont="1" applyFill="1" applyAlignment="1">
      <alignment vertical="top"/>
    </xf>
    <xf numFmtId="0" fontId="24" fillId="3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1" fillId="3" borderId="0" xfId="0" applyFont="1" applyFill="1" applyAlignment="1">
      <alignment horizontal="left" vertical="center"/>
    </xf>
    <xf numFmtId="0" fontId="44" fillId="3" borderId="0" xfId="0" applyFont="1" applyFill="1" applyAlignment="1">
      <alignment horizontal="center"/>
    </xf>
    <xf numFmtId="0" fontId="0" fillId="0" borderId="0" xfId="0" applyFill="1"/>
    <xf numFmtId="0" fontId="46" fillId="3" borderId="0" xfId="0" applyFont="1" applyFill="1" applyAlignment="1">
      <alignment horizont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27" fillId="3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left"/>
    </xf>
    <xf numFmtId="0" fontId="26" fillId="2" borderId="0" xfId="0" applyFont="1" applyFill="1" applyAlignment="1" applyProtection="1">
      <alignment horizontal="center"/>
      <protection locked="0"/>
    </xf>
    <xf numFmtId="0" fontId="22" fillId="2" borderId="0" xfId="0" applyFont="1" applyFill="1" applyAlignment="1" applyProtection="1">
      <alignment horizontal="center"/>
      <protection locked="0"/>
    </xf>
    <xf numFmtId="0" fontId="13" fillId="3" borderId="0" xfId="0" applyFont="1" applyFill="1" applyAlignment="1">
      <alignment horizontal="right" vertical="center"/>
    </xf>
    <xf numFmtId="0" fontId="13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/>
    </xf>
    <xf numFmtId="0" fontId="0" fillId="2" borderId="0" xfId="0" applyFill="1" applyAlignment="1" applyProtection="1">
      <alignment horizontal="center" vertical="center"/>
      <protection locked="0"/>
    </xf>
    <xf numFmtId="0" fontId="20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/>
    </xf>
    <xf numFmtId="0" fontId="16" fillId="3" borderId="0" xfId="0" applyFont="1" applyFill="1" applyAlignment="1">
      <alignment horizontal="right" vertical="center"/>
    </xf>
    <xf numFmtId="0" fontId="0" fillId="2" borderId="0" xfId="0" applyFill="1" applyAlignment="1" applyProtection="1">
      <alignment horizontal="center"/>
      <protection locked="0"/>
    </xf>
    <xf numFmtId="0" fontId="29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 vertical="top"/>
    </xf>
    <xf numFmtId="0" fontId="36" fillId="3" borderId="0" xfId="0" applyFont="1" applyFill="1" applyAlignment="1">
      <alignment vertical="center"/>
    </xf>
    <xf numFmtId="0" fontId="31" fillId="3" borderId="0" xfId="0" applyFont="1" applyFill="1" applyAlignment="1">
      <alignment horizontal="right" vertical="center"/>
    </xf>
    <xf numFmtId="0" fontId="29" fillId="3" borderId="0" xfId="0" applyFont="1" applyFill="1" applyAlignment="1">
      <alignment horizontal="center" vertical="center"/>
    </xf>
    <xf numFmtId="0" fontId="28" fillId="3" borderId="0" xfId="0" applyFont="1" applyFill="1" applyAlignment="1">
      <alignment horizontal="right" vertical="top"/>
    </xf>
    <xf numFmtId="0" fontId="39" fillId="3" borderId="0" xfId="0" applyFont="1" applyFill="1" applyAlignment="1">
      <alignment horizontal="right" vertical="top"/>
    </xf>
    <xf numFmtId="0" fontId="32" fillId="3" borderId="0" xfId="0" applyFont="1" applyFill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0" fontId="33" fillId="3" borderId="0" xfId="0" applyFont="1" applyFill="1" applyAlignment="1">
      <alignment horizontal="center"/>
    </xf>
    <xf numFmtId="0" fontId="36" fillId="3" borderId="0" xfId="0" applyFont="1" applyFill="1" applyAlignment="1">
      <alignment horizontal="right" vertical="center"/>
    </xf>
    <xf numFmtId="0" fontId="17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3" fillId="3" borderId="0" xfId="0" applyFont="1" applyFill="1" applyAlignment="1">
      <alignment horizontal="right"/>
    </xf>
    <xf numFmtId="0" fontId="30" fillId="3" borderId="0" xfId="0" applyFont="1" applyFill="1" applyAlignment="1">
      <alignment horizontal="right"/>
    </xf>
    <xf numFmtId="0" fontId="13" fillId="3" borderId="0" xfId="0" applyFont="1" applyFill="1" applyAlignment="1">
      <alignment horizontal="center" vertical="center"/>
    </xf>
    <xf numFmtId="0" fontId="42" fillId="3" borderId="0" xfId="0" applyFont="1" applyFill="1" applyAlignment="1">
      <alignment horizontal="right"/>
    </xf>
    <xf numFmtId="0" fontId="41" fillId="3" borderId="0" xfId="0" applyFont="1" applyFill="1" applyAlignment="1">
      <alignment horizontal="center"/>
    </xf>
    <xf numFmtId="0" fontId="42" fillId="3" borderId="0" xfId="0" applyFont="1" applyFill="1" applyAlignment="1">
      <alignment horizontal="right" vertical="top"/>
    </xf>
    <xf numFmtId="0" fontId="41" fillId="3" borderId="0" xfId="0" applyFont="1" applyFill="1" applyAlignment="1">
      <alignment horizontal="center" vertical="center"/>
    </xf>
    <xf numFmtId="0" fontId="41" fillId="3" borderId="0" xfId="0" applyFont="1" applyFill="1" applyAlignment="1">
      <alignment horizontal="right"/>
    </xf>
    <xf numFmtId="0" fontId="0" fillId="3" borderId="0" xfId="0" applyFill="1" applyAlignment="1">
      <alignment horizontal="center" vertical="center"/>
    </xf>
    <xf numFmtId="0" fontId="45" fillId="3" borderId="0" xfId="0" applyFont="1" applyFill="1" applyAlignment="1">
      <alignment horizontal="center" vertical="top"/>
    </xf>
    <xf numFmtId="0" fontId="43" fillId="3" borderId="0" xfId="0" applyFont="1" applyFill="1" applyAlignment="1">
      <alignment horizontal="right"/>
    </xf>
    <xf numFmtId="0" fontId="43" fillId="3" borderId="0" xfId="0" applyFont="1" applyFill="1" applyAlignment="1">
      <alignment horizontal="right" vertical="top"/>
    </xf>
  </cellXfs>
  <cellStyles count="1">
    <cellStyle name="Normal" xfId="0" builtinId="0"/>
  </cellStyles>
  <dxfs count="40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alignment horizontal="center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alignment horizontal="left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alignment horizontal="center" vertical="bottom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png"/><Relationship Id="rId13" Type="http://schemas.openxmlformats.org/officeDocument/2006/relationships/image" Target="../media/image21.png"/><Relationship Id="rId3" Type="http://schemas.openxmlformats.org/officeDocument/2006/relationships/image" Target="../media/image11.png"/><Relationship Id="rId7" Type="http://schemas.openxmlformats.org/officeDocument/2006/relationships/image" Target="../media/image15.png"/><Relationship Id="rId12" Type="http://schemas.openxmlformats.org/officeDocument/2006/relationships/image" Target="../media/image20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6" Type="http://schemas.openxmlformats.org/officeDocument/2006/relationships/image" Target="../media/image14.png"/><Relationship Id="rId11" Type="http://schemas.openxmlformats.org/officeDocument/2006/relationships/image" Target="../media/image19.png"/><Relationship Id="rId5" Type="http://schemas.openxmlformats.org/officeDocument/2006/relationships/image" Target="../media/image13.png"/><Relationship Id="rId10" Type="http://schemas.openxmlformats.org/officeDocument/2006/relationships/image" Target="../media/image18.png"/><Relationship Id="rId4" Type="http://schemas.openxmlformats.org/officeDocument/2006/relationships/image" Target="../media/image12.png"/><Relationship Id="rId9" Type="http://schemas.openxmlformats.org/officeDocument/2006/relationships/image" Target="../media/image17.png"/><Relationship Id="rId14" Type="http://schemas.openxmlformats.org/officeDocument/2006/relationships/image" Target="../media/image22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7.png"/><Relationship Id="rId13" Type="http://schemas.openxmlformats.org/officeDocument/2006/relationships/image" Target="../media/image22.png"/><Relationship Id="rId3" Type="http://schemas.openxmlformats.org/officeDocument/2006/relationships/image" Target="../media/image6.png"/><Relationship Id="rId7" Type="http://schemas.openxmlformats.org/officeDocument/2006/relationships/image" Target="../media/image26.png"/><Relationship Id="rId12" Type="http://schemas.openxmlformats.org/officeDocument/2006/relationships/image" Target="../media/image31.png"/><Relationship Id="rId2" Type="http://schemas.openxmlformats.org/officeDocument/2006/relationships/image" Target="../media/image24.png"/><Relationship Id="rId16" Type="http://schemas.openxmlformats.org/officeDocument/2006/relationships/image" Target="../media/image34.png"/><Relationship Id="rId1" Type="http://schemas.openxmlformats.org/officeDocument/2006/relationships/image" Target="../media/image23.png"/><Relationship Id="rId6" Type="http://schemas.openxmlformats.org/officeDocument/2006/relationships/image" Target="../media/image4.png"/><Relationship Id="rId11" Type="http://schemas.openxmlformats.org/officeDocument/2006/relationships/image" Target="../media/image30.png"/><Relationship Id="rId5" Type="http://schemas.openxmlformats.org/officeDocument/2006/relationships/image" Target="../media/image25.png"/><Relationship Id="rId15" Type="http://schemas.openxmlformats.org/officeDocument/2006/relationships/image" Target="../media/image33.png"/><Relationship Id="rId10" Type="http://schemas.openxmlformats.org/officeDocument/2006/relationships/image" Target="../media/image29.png"/><Relationship Id="rId4" Type="http://schemas.openxmlformats.org/officeDocument/2006/relationships/image" Target="../media/image8.png"/><Relationship Id="rId9" Type="http://schemas.openxmlformats.org/officeDocument/2006/relationships/image" Target="../media/image28.png"/><Relationship Id="rId14" Type="http://schemas.openxmlformats.org/officeDocument/2006/relationships/image" Target="../media/image32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8.png"/><Relationship Id="rId13" Type="http://schemas.openxmlformats.org/officeDocument/2006/relationships/image" Target="../media/image36.png"/><Relationship Id="rId18" Type="http://schemas.openxmlformats.org/officeDocument/2006/relationships/image" Target="../media/image41.png"/><Relationship Id="rId26" Type="http://schemas.openxmlformats.org/officeDocument/2006/relationships/image" Target="../media/image47.png"/><Relationship Id="rId3" Type="http://schemas.openxmlformats.org/officeDocument/2006/relationships/image" Target="../media/image6.png"/><Relationship Id="rId21" Type="http://schemas.openxmlformats.org/officeDocument/2006/relationships/image" Target="../media/image22.png"/><Relationship Id="rId7" Type="http://schemas.openxmlformats.org/officeDocument/2006/relationships/image" Target="../media/image27.png"/><Relationship Id="rId12" Type="http://schemas.openxmlformats.org/officeDocument/2006/relationships/image" Target="../media/image35.png"/><Relationship Id="rId17" Type="http://schemas.openxmlformats.org/officeDocument/2006/relationships/image" Target="../media/image40.png"/><Relationship Id="rId25" Type="http://schemas.openxmlformats.org/officeDocument/2006/relationships/image" Target="../media/image46.png"/><Relationship Id="rId2" Type="http://schemas.openxmlformats.org/officeDocument/2006/relationships/image" Target="../media/image24.png"/><Relationship Id="rId16" Type="http://schemas.openxmlformats.org/officeDocument/2006/relationships/image" Target="../media/image39.png"/><Relationship Id="rId20" Type="http://schemas.openxmlformats.org/officeDocument/2006/relationships/image" Target="../media/image43.png"/><Relationship Id="rId29" Type="http://schemas.openxmlformats.org/officeDocument/2006/relationships/image" Target="../media/image33.png"/><Relationship Id="rId1" Type="http://schemas.openxmlformats.org/officeDocument/2006/relationships/image" Target="../media/image23.png"/><Relationship Id="rId6" Type="http://schemas.openxmlformats.org/officeDocument/2006/relationships/image" Target="../media/image26.png"/><Relationship Id="rId11" Type="http://schemas.openxmlformats.org/officeDocument/2006/relationships/image" Target="../media/image31.png"/><Relationship Id="rId24" Type="http://schemas.openxmlformats.org/officeDocument/2006/relationships/image" Target="../media/image45.png"/><Relationship Id="rId5" Type="http://schemas.openxmlformats.org/officeDocument/2006/relationships/image" Target="../media/image4.png"/><Relationship Id="rId15" Type="http://schemas.openxmlformats.org/officeDocument/2006/relationships/image" Target="../media/image38.png"/><Relationship Id="rId23" Type="http://schemas.openxmlformats.org/officeDocument/2006/relationships/image" Target="../media/image44.png"/><Relationship Id="rId28" Type="http://schemas.openxmlformats.org/officeDocument/2006/relationships/image" Target="../media/image34.png"/><Relationship Id="rId10" Type="http://schemas.openxmlformats.org/officeDocument/2006/relationships/image" Target="../media/image30.png"/><Relationship Id="rId19" Type="http://schemas.openxmlformats.org/officeDocument/2006/relationships/image" Target="../media/image42.png"/><Relationship Id="rId4" Type="http://schemas.openxmlformats.org/officeDocument/2006/relationships/image" Target="../media/image25.png"/><Relationship Id="rId9" Type="http://schemas.openxmlformats.org/officeDocument/2006/relationships/image" Target="../media/image29.png"/><Relationship Id="rId14" Type="http://schemas.openxmlformats.org/officeDocument/2006/relationships/image" Target="../media/image37.png"/><Relationship Id="rId22" Type="http://schemas.openxmlformats.org/officeDocument/2006/relationships/image" Target="../media/image8.png"/><Relationship Id="rId27" Type="http://schemas.openxmlformats.org/officeDocument/2006/relationships/image" Target="../media/image32.png"/></Relationships>
</file>

<file path=xl/drawings/_rels/drawing6.xml.rels><?xml version="1.0" encoding="UTF-8" standalone="yes"?>
<Relationships xmlns="http://schemas.openxmlformats.org/package/2006/relationships"><Relationship Id="rId13" Type="http://schemas.openxmlformats.org/officeDocument/2006/relationships/image" Target="../media/image60.png"/><Relationship Id="rId18" Type="http://schemas.openxmlformats.org/officeDocument/2006/relationships/image" Target="../media/image65.png"/><Relationship Id="rId26" Type="http://schemas.openxmlformats.org/officeDocument/2006/relationships/image" Target="../media/image73.png"/><Relationship Id="rId39" Type="http://schemas.openxmlformats.org/officeDocument/2006/relationships/image" Target="../media/image86.png"/><Relationship Id="rId3" Type="http://schemas.openxmlformats.org/officeDocument/2006/relationships/image" Target="../media/image50.png"/><Relationship Id="rId21" Type="http://schemas.openxmlformats.org/officeDocument/2006/relationships/image" Target="../media/image68.png"/><Relationship Id="rId34" Type="http://schemas.openxmlformats.org/officeDocument/2006/relationships/image" Target="../media/image81.png"/><Relationship Id="rId42" Type="http://schemas.openxmlformats.org/officeDocument/2006/relationships/image" Target="../media/image89.png"/><Relationship Id="rId47" Type="http://schemas.openxmlformats.org/officeDocument/2006/relationships/image" Target="../media/image94.png"/><Relationship Id="rId50" Type="http://schemas.openxmlformats.org/officeDocument/2006/relationships/image" Target="../media/image97.png"/><Relationship Id="rId7" Type="http://schemas.openxmlformats.org/officeDocument/2006/relationships/image" Target="../media/image54.png"/><Relationship Id="rId12" Type="http://schemas.openxmlformats.org/officeDocument/2006/relationships/image" Target="../media/image59.png"/><Relationship Id="rId17" Type="http://schemas.openxmlformats.org/officeDocument/2006/relationships/image" Target="../media/image64.png"/><Relationship Id="rId25" Type="http://schemas.openxmlformats.org/officeDocument/2006/relationships/image" Target="../media/image72.png"/><Relationship Id="rId33" Type="http://schemas.openxmlformats.org/officeDocument/2006/relationships/image" Target="../media/image80.emf"/><Relationship Id="rId38" Type="http://schemas.openxmlformats.org/officeDocument/2006/relationships/image" Target="../media/image85.png"/><Relationship Id="rId46" Type="http://schemas.openxmlformats.org/officeDocument/2006/relationships/image" Target="../media/image93.png"/><Relationship Id="rId2" Type="http://schemas.openxmlformats.org/officeDocument/2006/relationships/image" Target="../media/image49.png"/><Relationship Id="rId16" Type="http://schemas.openxmlformats.org/officeDocument/2006/relationships/image" Target="../media/image63.png"/><Relationship Id="rId20" Type="http://schemas.openxmlformats.org/officeDocument/2006/relationships/image" Target="../media/image67.png"/><Relationship Id="rId29" Type="http://schemas.openxmlformats.org/officeDocument/2006/relationships/image" Target="../media/image76.png"/><Relationship Id="rId41" Type="http://schemas.openxmlformats.org/officeDocument/2006/relationships/image" Target="../media/image88.png"/><Relationship Id="rId1" Type="http://schemas.openxmlformats.org/officeDocument/2006/relationships/image" Target="../media/image48.png"/><Relationship Id="rId6" Type="http://schemas.openxmlformats.org/officeDocument/2006/relationships/image" Target="../media/image53.png"/><Relationship Id="rId11" Type="http://schemas.openxmlformats.org/officeDocument/2006/relationships/image" Target="../media/image58.png"/><Relationship Id="rId24" Type="http://schemas.openxmlformats.org/officeDocument/2006/relationships/image" Target="../media/image71.png"/><Relationship Id="rId32" Type="http://schemas.openxmlformats.org/officeDocument/2006/relationships/image" Target="../media/image79.png"/><Relationship Id="rId37" Type="http://schemas.openxmlformats.org/officeDocument/2006/relationships/image" Target="../media/image84.png"/><Relationship Id="rId40" Type="http://schemas.openxmlformats.org/officeDocument/2006/relationships/image" Target="../media/image87.png"/><Relationship Id="rId45" Type="http://schemas.openxmlformats.org/officeDocument/2006/relationships/image" Target="../media/image92.png"/><Relationship Id="rId5" Type="http://schemas.openxmlformats.org/officeDocument/2006/relationships/image" Target="../media/image52.png"/><Relationship Id="rId15" Type="http://schemas.openxmlformats.org/officeDocument/2006/relationships/image" Target="../media/image62.png"/><Relationship Id="rId23" Type="http://schemas.openxmlformats.org/officeDocument/2006/relationships/image" Target="../media/image70.emf"/><Relationship Id="rId28" Type="http://schemas.openxmlformats.org/officeDocument/2006/relationships/image" Target="../media/image75.png"/><Relationship Id="rId36" Type="http://schemas.openxmlformats.org/officeDocument/2006/relationships/image" Target="../media/image83.png"/><Relationship Id="rId49" Type="http://schemas.openxmlformats.org/officeDocument/2006/relationships/image" Target="../media/image96.png"/><Relationship Id="rId10" Type="http://schemas.openxmlformats.org/officeDocument/2006/relationships/image" Target="../media/image57.png"/><Relationship Id="rId19" Type="http://schemas.openxmlformats.org/officeDocument/2006/relationships/image" Target="../media/image66.png"/><Relationship Id="rId31" Type="http://schemas.openxmlformats.org/officeDocument/2006/relationships/image" Target="../media/image78.png"/><Relationship Id="rId44" Type="http://schemas.openxmlformats.org/officeDocument/2006/relationships/image" Target="../media/image91.png"/><Relationship Id="rId4" Type="http://schemas.openxmlformats.org/officeDocument/2006/relationships/image" Target="../media/image51.png"/><Relationship Id="rId9" Type="http://schemas.openxmlformats.org/officeDocument/2006/relationships/image" Target="../media/image56.png"/><Relationship Id="rId14" Type="http://schemas.openxmlformats.org/officeDocument/2006/relationships/image" Target="../media/image61.png"/><Relationship Id="rId22" Type="http://schemas.openxmlformats.org/officeDocument/2006/relationships/image" Target="../media/image69.emf"/><Relationship Id="rId27" Type="http://schemas.openxmlformats.org/officeDocument/2006/relationships/image" Target="../media/image74.png"/><Relationship Id="rId30" Type="http://schemas.openxmlformats.org/officeDocument/2006/relationships/image" Target="../media/image77.png"/><Relationship Id="rId35" Type="http://schemas.openxmlformats.org/officeDocument/2006/relationships/image" Target="../media/image82.png"/><Relationship Id="rId43" Type="http://schemas.openxmlformats.org/officeDocument/2006/relationships/image" Target="../media/image90.png"/><Relationship Id="rId48" Type="http://schemas.openxmlformats.org/officeDocument/2006/relationships/image" Target="../media/image95.png"/><Relationship Id="rId8" Type="http://schemas.openxmlformats.org/officeDocument/2006/relationships/image" Target="../media/image5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190499</xdr:rowOff>
    </xdr:from>
    <xdr:to>
      <xdr:col>2</xdr:col>
      <xdr:colOff>438149</xdr:colOff>
      <xdr:row>14</xdr:row>
      <xdr:rowOff>104774</xdr:rowOff>
    </xdr:to>
    <xdr:pic>
      <xdr:nvPicPr>
        <xdr:cNvPr id="2" name="Picture 1" descr="01ImagesFromPDF.bmp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025" y="571499"/>
          <a:ext cx="1457324" cy="2200275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  <xdr:twoCellAnchor editAs="oneCell">
    <xdr:from>
      <xdr:col>0</xdr:col>
      <xdr:colOff>219075</xdr:colOff>
      <xdr:row>16</xdr:row>
      <xdr:rowOff>19050</xdr:rowOff>
    </xdr:from>
    <xdr:to>
      <xdr:col>2</xdr:col>
      <xdr:colOff>457199</xdr:colOff>
      <xdr:row>27</xdr:row>
      <xdr:rowOff>133349</xdr:rowOff>
    </xdr:to>
    <xdr:pic>
      <xdr:nvPicPr>
        <xdr:cNvPr id="3" name="Picture 2" descr="02ImagesFromPDF.bmp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9075" y="3067050"/>
          <a:ext cx="1457324" cy="2209799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  <xdr:twoCellAnchor editAs="oneCell">
    <xdr:from>
      <xdr:col>0</xdr:col>
      <xdr:colOff>180975</xdr:colOff>
      <xdr:row>29</xdr:row>
      <xdr:rowOff>76199</xdr:rowOff>
    </xdr:from>
    <xdr:to>
      <xdr:col>2</xdr:col>
      <xdr:colOff>457200</xdr:colOff>
      <xdr:row>35</xdr:row>
      <xdr:rowOff>142874</xdr:rowOff>
    </xdr:to>
    <xdr:pic>
      <xdr:nvPicPr>
        <xdr:cNvPr id="4" name="Picture 3" descr="03ImagesFromPDF.bmp"/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" y="5600699"/>
          <a:ext cx="1495425" cy="1209675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24</xdr:row>
      <xdr:rowOff>47625</xdr:rowOff>
    </xdr:from>
    <xdr:to>
      <xdr:col>1</xdr:col>
      <xdr:colOff>590550</xdr:colOff>
      <xdr:row>26</xdr:row>
      <xdr:rowOff>95250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6725" y="3095625"/>
          <a:ext cx="733425" cy="428625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0</xdr:col>
      <xdr:colOff>504825</xdr:colOff>
      <xdr:row>13</xdr:row>
      <xdr:rowOff>85726</xdr:rowOff>
    </xdr:from>
    <xdr:to>
      <xdr:col>3</xdr:col>
      <xdr:colOff>38100</xdr:colOff>
      <xdr:row>15</xdr:row>
      <xdr:rowOff>180976</xdr:rowOff>
    </xdr:to>
    <xdr:pic>
      <xdr:nvPicPr>
        <xdr:cNvPr id="205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5" y="1038226"/>
          <a:ext cx="1362075" cy="476250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0</xdr:col>
      <xdr:colOff>466725</xdr:colOff>
      <xdr:row>16</xdr:row>
      <xdr:rowOff>9526</xdr:rowOff>
    </xdr:from>
    <xdr:to>
      <xdr:col>3</xdr:col>
      <xdr:colOff>85725</xdr:colOff>
      <xdr:row>19</xdr:row>
      <xdr:rowOff>66676</xdr:rowOff>
    </xdr:to>
    <xdr:pic>
      <xdr:nvPicPr>
        <xdr:cNvPr id="205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6725" y="1533526"/>
          <a:ext cx="1447800" cy="628650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4</xdr:col>
      <xdr:colOff>200025</xdr:colOff>
      <xdr:row>24</xdr:row>
      <xdr:rowOff>180975</xdr:rowOff>
    </xdr:from>
    <xdr:to>
      <xdr:col>5</xdr:col>
      <xdr:colOff>38100</xdr:colOff>
      <xdr:row>26</xdr:row>
      <xdr:rowOff>76200</xdr:rowOff>
    </xdr:to>
    <xdr:pic>
      <xdr:nvPicPr>
        <xdr:cNvPr id="2057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38425" y="3228975"/>
          <a:ext cx="447675" cy="276225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0</xdr:col>
      <xdr:colOff>466725</xdr:colOff>
      <xdr:row>19</xdr:row>
      <xdr:rowOff>38100</xdr:rowOff>
    </xdr:from>
    <xdr:to>
      <xdr:col>5</xdr:col>
      <xdr:colOff>485775</xdr:colOff>
      <xdr:row>24</xdr:row>
      <xdr:rowOff>28575</xdr:rowOff>
    </xdr:to>
    <xdr:pic>
      <xdr:nvPicPr>
        <xdr:cNvPr id="2060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6725" y="2133600"/>
          <a:ext cx="3067050" cy="942975"/>
        </a:xfrm>
        <a:prstGeom prst="rect">
          <a:avLst/>
        </a:prstGeom>
        <a:ln>
          <a:noFill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314327</xdr:colOff>
      <xdr:row>11</xdr:row>
      <xdr:rowOff>76200</xdr:rowOff>
    </xdr:from>
    <xdr:to>
      <xdr:col>7</xdr:col>
      <xdr:colOff>1</xdr:colOff>
      <xdr:row>13</xdr:row>
      <xdr:rowOff>114300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33527" y="1771650"/>
          <a:ext cx="2733674" cy="4286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219074</xdr:colOff>
      <xdr:row>19</xdr:row>
      <xdr:rowOff>38100</xdr:rowOff>
    </xdr:from>
    <xdr:to>
      <xdr:col>2</xdr:col>
      <xdr:colOff>38099</xdr:colOff>
      <xdr:row>21</xdr:row>
      <xdr:rowOff>95250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28674" y="3009900"/>
          <a:ext cx="428625" cy="438150"/>
        </a:xfrm>
        <a:prstGeom prst="rect">
          <a:avLst/>
        </a:prstGeom>
        <a:noFill/>
      </xdr:spPr>
    </xdr:pic>
    <xdr:clientData/>
  </xdr:twoCellAnchor>
  <xdr:twoCellAnchor>
    <xdr:from>
      <xdr:col>3</xdr:col>
      <xdr:colOff>514350</xdr:colOff>
      <xdr:row>19</xdr:row>
      <xdr:rowOff>66675</xdr:rowOff>
    </xdr:from>
    <xdr:to>
      <xdr:col>5</xdr:col>
      <xdr:colOff>561975</xdr:colOff>
      <xdr:row>22</xdr:row>
      <xdr:rowOff>38100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343150" y="3038475"/>
          <a:ext cx="1304925" cy="5429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276225</xdr:colOff>
      <xdr:row>20</xdr:row>
      <xdr:rowOff>0</xdr:rowOff>
    </xdr:from>
    <xdr:to>
      <xdr:col>7</xdr:col>
      <xdr:colOff>142875</xdr:colOff>
      <xdr:row>21</xdr:row>
      <xdr:rowOff>104775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933825" y="3162300"/>
          <a:ext cx="476250" cy="2952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19050</xdr:colOff>
      <xdr:row>22</xdr:row>
      <xdr:rowOff>152400</xdr:rowOff>
    </xdr:from>
    <xdr:to>
      <xdr:col>3</xdr:col>
      <xdr:colOff>485775</xdr:colOff>
      <xdr:row>24</xdr:row>
      <xdr:rowOff>66675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47850" y="3705225"/>
          <a:ext cx="466725" cy="295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152400</xdr:colOff>
      <xdr:row>28</xdr:row>
      <xdr:rowOff>85725</xdr:rowOff>
    </xdr:from>
    <xdr:to>
      <xdr:col>3</xdr:col>
      <xdr:colOff>485775</xdr:colOff>
      <xdr:row>31</xdr:row>
      <xdr:rowOff>38100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62000" y="5276850"/>
          <a:ext cx="1552575" cy="5238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419100</xdr:colOff>
      <xdr:row>32</xdr:row>
      <xdr:rowOff>47626</xdr:rowOff>
    </xdr:from>
    <xdr:to>
      <xdr:col>3</xdr:col>
      <xdr:colOff>85725</xdr:colOff>
      <xdr:row>33</xdr:row>
      <xdr:rowOff>25067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38300" y="6981826"/>
          <a:ext cx="276225" cy="425116"/>
        </a:xfrm>
        <a:prstGeom prst="rect">
          <a:avLst/>
        </a:prstGeom>
        <a:noFill/>
      </xdr:spPr>
    </xdr:pic>
    <xdr:clientData/>
  </xdr:twoCellAnchor>
  <xdr:twoCellAnchor>
    <xdr:from>
      <xdr:col>4</xdr:col>
      <xdr:colOff>638176</xdr:colOff>
      <xdr:row>32</xdr:row>
      <xdr:rowOff>28576</xdr:rowOff>
    </xdr:from>
    <xdr:to>
      <xdr:col>5</xdr:col>
      <xdr:colOff>200026</xdr:colOff>
      <xdr:row>33</xdr:row>
      <xdr:rowOff>32587</xdr:rowOff>
    </xdr:to>
    <xdr:pic>
      <xdr:nvPicPr>
        <xdr:cNvPr id="10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962276" y="6962776"/>
          <a:ext cx="247650" cy="451686"/>
        </a:xfrm>
        <a:prstGeom prst="rect">
          <a:avLst/>
        </a:prstGeom>
        <a:noFill/>
      </xdr:spPr>
    </xdr:pic>
    <xdr:clientData/>
  </xdr:twoCellAnchor>
  <xdr:twoCellAnchor>
    <xdr:from>
      <xdr:col>1</xdr:col>
      <xdr:colOff>152400</xdr:colOff>
      <xdr:row>40</xdr:row>
      <xdr:rowOff>180975</xdr:rowOff>
    </xdr:from>
    <xdr:to>
      <xdr:col>2</xdr:col>
      <xdr:colOff>600075</xdr:colOff>
      <xdr:row>42</xdr:row>
      <xdr:rowOff>95250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62000" y="7715250"/>
          <a:ext cx="1057275" cy="295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561975</xdr:colOff>
      <xdr:row>37</xdr:row>
      <xdr:rowOff>171451</xdr:rowOff>
    </xdr:from>
    <xdr:to>
      <xdr:col>2</xdr:col>
      <xdr:colOff>600075</xdr:colOff>
      <xdr:row>39</xdr:row>
      <xdr:rowOff>57151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71575" y="7134226"/>
          <a:ext cx="647700" cy="2667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533400</xdr:colOff>
      <xdr:row>40</xdr:row>
      <xdr:rowOff>38100</xdr:rowOff>
    </xdr:from>
    <xdr:to>
      <xdr:col>6</xdr:col>
      <xdr:colOff>0</xdr:colOff>
      <xdr:row>43</xdr:row>
      <xdr:rowOff>0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857500" y="7572375"/>
          <a:ext cx="800100" cy="5334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533400</xdr:colOff>
      <xdr:row>37</xdr:row>
      <xdr:rowOff>28575</xdr:rowOff>
    </xdr:from>
    <xdr:to>
      <xdr:col>6</xdr:col>
      <xdr:colOff>0</xdr:colOff>
      <xdr:row>39</xdr:row>
      <xdr:rowOff>180975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857500" y="6991350"/>
          <a:ext cx="800100" cy="533400"/>
        </a:xfrm>
        <a:prstGeom prst="rect">
          <a:avLst/>
        </a:prstGeom>
        <a:noFill/>
      </xdr:spPr>
    </xdr:pic>
    <xdr:clientData/>
  </xdr:twoCellAnchor>
  <xdr:twoCellAnchor>
    <xdr:from>
      <xdr:col>3</xdr:col>
      <xdr:colOff>28575</xdr:colOff>
      <xdr:row>15</xdr:row>
      <xdr:rowOff>161925</xdr:rowOff>
    </xdr:from>
    <xdr:to>
      <xdr:col>3</xdr:col>
      <xdr:colOff>476250</xdr:colOff>
      <xdr:row>17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57375" y="2800350"/>
          <a:ext cx="447675" cy="4953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9525</xdr:colOff>
      <xdr:row>16</xdr:row>
      <xdr:rowOff>9526</xdr:rowOff>
    </xdr:from>
    <xdr:to>
      <xdr:col>5</xdr:col>
      <xdr:colOff>333375</xdr:colOff>
      <xdr:row>17</xdr:row>
      <xdr:rowOff>28576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19425" y="2905126"/>
          <a:ext cx="323850" cy="2857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14</xdr:row>
      <xdr:rowOff>19050</xdr:rowOff>
    </xdr:from>
    <xdr:to>
      <xdr:col>2</xdr:col>
      <xdr:colOff>571500</xdr:colOff>
      <xdr:row>15</xdr:row>
      <xdr:rowOff>76200</xdr:rowOff>
    </xdr:to>
    <xdr:pic>
      <xdr:nvPicPr>
        <xdr:cNvPr id="1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95325" y="3105150"/>
          <a:ext cx="1095375" cy="3238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66675</xdr:rowOff>
    </xdr:from>
    <xdr:to>
      <xdr:col>1</xdr:col>
      <xdr:colOff>581025</xdr:colOff>
      <xdr:row>14</xdr:row>
      <xdr:rowOff>133350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47700" y="2724150"/>
          <a:ext cx="542925" cy="4953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57150</xdr:colOff>
      <xdr:row>12</xdr:row>
      <xdr:rowOff>123825</xdr:rowOff>
    </xdr:from>
    <xdr:to>
      <xdr:col>4</xdr:col>
      <xdr:colOff>600075</xdr:colOff>
      <xdr:row>14</xdr:row>
      <xdr:rowOff>209550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562225" y="2781300"/>
          <a:ext cx="542925" cy="5143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600075</xdr:colOff>
      <xdr:row>14</xdr:row>
      <xdr:rowOff>133350</xdr:rowOff>
    </xdr:from>
    <xdr:to>
      <xdr:col>3</xdr:col>
      <xdr:colOff>9525</xdr:colOff>
      <xdr:row>17</xdr:row>
      <xdr:rowOff>104775</xdr:rowOff>
    </xdr:to>
    <xdr:pic>
      <xdr:nvPicPr>
        <xdr:cNvPr id="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00075" y="3219450"/>
          <a:ext cx="1238250" cy="619125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0</xdr:col>
      <xdr:colOff>581025</xdr:colOff>
      <xdr:row>17</xdr:row>
      <xdr:rowOff>114300</xdr:rowOff>
    </xdr:from>
    <xdr:to>
      <xdr:col>5</xdr:col>
      <xdr:colOff>561975</xdr:colOff>
      <xdr:row>21</xdr:row>
      <xdr:rowOff>133350</xdr:rowOff>
    </xdr:to>
    <xdr:pic>
      <xdr:nvPicPr>
        <xdr:cNvPr id="5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1025" y="3848100"/>
          <a:ext cx="3095625" cy="781050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1</xdr:col>
      <xdr:colOff>466725</xdr:colOff>
      <xdr:row>24</xdr:row>
      <xdr:rowOff>114300</xdr:rowOff>
    </xdr:from>
    <xdr:to>
      <xdr:col>3</xdr:col>
      <xdr:colOff>657225</xdr:colOff>
      <xdr:row>27</xdr:row>
      <xdr:rowOff>0</xdr:rowOff>
    </xdr:to>
    <xdr:pic>
      <xdr:nvPicPr>
        <xdr:cNvPr id="205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76325" y="5257800"/>
          <a:ext cx="1409700" cy="5715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495300</xdr:colOff>
      <xdr:row>21</xdr:row>
      <xdr:rowOff>123825</xdr:rowOff>
    </xdr:from>
    <xdr:to>
      <xdr:col>3</xdr:col>
      <xdr:colOff>9525</xdr:colOff>
      <xdr:row>23</xdr:row>
      <xdr:rowOff>171450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04900" y="4619625"/>
          <a:ext cx="733425" cy="504825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2</xdr:col>
      <xdr:colOff>476250</xdr:colOff>
      <xdr:row>27</xdr:row>
      <xdr:rowOff>123826</xdr:rowOff>
    </xdr:from>
    <xdr:to>
      <xdr:col>8</xdr:col>
      <xdr:colOff>19050</xdr:colOff>
      <xdr:row>29</xdr:row>
      <xdr:rowOff>161925</xdr:rowOff>
    </xdr:to>
    <xdr:pic>
      <xdr:nvPicPr>
        <xdr:cNvPr id="205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95450" y="5334001"/>
          <a:ext cx="3305175" cy="466724"/>
        </a:xfrm>
        <a:prstGeom prst="rect">
          <a:avLst/>
        </a:prstGeom>
        <a:noFill/>
      </xdr:spPr>
    </xdr:pic>
    <xdr:clientData/>
  </xdr:twoCellAnchor>
  <xdr:twoCellAnchor>
    <xdr:from>
      <xdr:col>0</xdr:col>
      <xdr:colOff>552450</xdr:colOff>
      <xdr:row>30</xdr:row>
      <xdr:rowOff>9525</xdr:rowOff>
    </xdr:from>
    <xdr:to>
      <xdr:col>4</xdr:col>
      <xdr:colOff>561975</xdr:colOff>
      <xdr:row>32</xdr:row>
      <xdr:rowOff>161925</xdr:rowOff>
    </xdr:to>
    <xdr:pic>
      <xdr:nvPicPr>
        <xdr:cNvPr id="205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2450" y="6381750"/>
          <a:ext cx="2514600" cy="5334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561975</xdr:colOff>
      <xdr:row>33</xdr:row>
      <xdr:rowOff>95250</xdr:rowOff>
    </xdr:from>
    <xdr:to>
      <xdr:col>4</xdr:col>
      <xdr:colOff>0</xdr:colOff>
      <xdr:row>36</xdr:row>
      <xdr:rowOff>161925</xdr:rowOff>
    </xdr:to>
    <xdr:pic>
      <xdr:nvPicPr>
        <xdr:cNvPr id="205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61975" y="7048500"/>
          <a:ext cx="1943100" cy="638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523875</xdr:colOff>
      <xdr:row>41</xdr:row>
      <xdr:rowOff>28575</xdr:rowOff>
    </xdr:from>
    <xdr:to>
      <xdr:col>5</xdr:col>
      <xdr:colOff>28575</xdr:colOff>
      <xdr:row>43</xdr:row>
      <xdr:rowOff>180975</xdr:rowOff>
    </xdr:to>
    <xdr:pic>
      <xdr:nvPicPr>
        <xdr:cNvPr id="2060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3875" y="7820025"/>
          <a:ext cx="2619375" cy="5334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495301</xdr:colOff>
      <xdr:row>45</xdr:row>
      <xdr:rowOff>19050</xdr:rowOff>
    </xdr:from>
    <xdr:to>
      <xdr:col>5</xdr:col>
      <xdr:colOff>57150</xdr:colOff>
      <xdr:row>48</xdr:row>
      <xdr:rowOff>19050</xdr:rowOff>
    </xdr:to>
    <xdr:pic>
      <xdr:nvPicPr>
        <xdr:cNvPr id="206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95301" y="8620125"/>
          <a:ext cx="2676524" cy="5715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466725</xdr:colOff>
      <xdr:row>49</xdr:row>
      <xdr:rowOff>47625</xdr:rowOff>
    </xdr:from>
    <xdr:to>
      <xdr:col>5</xdr:col>
      <xdr:colOff>47625</xdr:colOff>
      <xdr:row>53</xdr:row>
      <xdr:rowOff>38100</xdr:rowOff>
    </xdr:to>
    <xdr:pic>
      <xdr:nvPicPr>
        <xdr:cNvPr id="206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76325" y="9410700"/>
          <a:ext cx="2085975" cy="7524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9</xdr:row>
      <xdr:rowOff>133350</xdr:rowOff>
    </xdr:from>
    <xdr:to>
      <xdr:col>2</xdr:col>
      <xdr:colOff>504825</xdr:colOff>
      <xdr:row>11</xdr:row>
      <xdr:rowOff>76200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28650" y="2219325"/>
          <a:ext cx="1095375" cy="3238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209550</xdr:colOff>
      <xdr:row>22</xdr:row>
      <xdr:rowOff>9525</xdr:rowOff>
    </xdr:from>
    <xdr:to>
      <xdr:col>6</xdr:col>
      <xdr:colOff>19050</xdr:colOff>
      <xdr:row>23</xdr:row>
      <xdr:rowOff>76200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714625" y="4695825"/>
          <a:ext cx="419100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552449</xdr:colOff>
      <xdr:row>27</xdr:row>
      <xdr:rowOff>180975</xdr:rowOff>
    </xdr:from>
    <xdr:to>
      <xdr:col>1</xdr:col>
      <xdr:colOff>504824</xdr:colOff>
      <xdr:row>29</xdr:row>
      <xdr:rowOff>76200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2449" y="5972175"/>
          <a:ext cx="561975" cy="285750"/>
        </a:xfrm>
        <a:prstGeom prst="rect">
          <a:avLst/>
        </a:prstGeom>
        <a:noFill/>
      </xdr:spPr>
    </xdr:pic>
    <xdr:clientData/>
  </xdr:twoCellAnchor>
  <xdr:twoCellAnchor>
    <xdr:from>
      <xdr:col>3</xdr:col>
      <xdr:colOff>238126</xdr:colOff>
      <xdr:row>37</xdr:row>
      <xdr:rowOff>104776</xdr:rowOff>
    </xdr:from>
    <xdr:to>
      <xdr:col>4</xdr:col>
      <xdr:colOff>9525</xdr:colOff>
      <xdr:row>39</xdr:row>
      <xdr:rowOff>161926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066926" y="7820026"/>
          <a:ext cx="447674" cy="43815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13</xdr:row>
      <xdr:rowOff>114299</xdr:rowOff>
    </xdr:from>
    <xdr:to>
      <xdr:col>1</xdr:col>
      <xdr:colOff>600076</xdr:colOff>
      <xdr:row>15</xdr:row>
      <xdr:rowOff>190499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28650" y="3086099"/>
          <a:ext cx="581026" cy="5048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600074</xdr:colOff>
      <xdr:row>13</xdr:row>
      <xdr:rowOff>114299</xdr:rowOff>
    </xdr:from>
    <xdr:to>
      <xdr:col>4</xdr:col>
      <xdr:colOff>571499</xdr:colOff>
      <xdr:row>15</xdr:row>
      <xdr:rowOff>190499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28874" y="3086099"/>
          <a:ext cx="581025" cy="5048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6060</xdr:colOff>
      <xdr:row>15</xdr:row>
      <xdr:rowOff>247649</xdr:rowOff>
    </xdr:from>
    <xdr:to>
      <xdr:col>3</xdr:col>
      <xdr:colOff>390525</xdr:colOff>
      <xdr:row>19</xdr:row>
      <xdr:rowOff>6926</xdr:rowOff>
    </xdr:to>
    <xdr:pic>
      <xdr:nvPicPr>
        <xdr:cNvPr id="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15660" y="3648074"/>
          <a:ext cx="1603665" cy="597477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2</xdr:col>
      <xdr:colOff>590549</xdr:colOff>
      <xdr:row>51</xdr:row>
      <xdr:rowOff>114300</xdr:rowOff>
    </xdr:from>
    <xdr:to>
      <xdr:col>5</xdr:col>
      <xdr:colOff>8658</xdr:colOff>
      <xdr:row>53</xdr:row>
      <xdr:rowOff>171450</xdr:rowOff>
    </xdr:to>
    <xdr:pic>
      <xdr:nvPicPr>
        <xdr:cNvPr id="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09749" y="11268075"/>
          <a:ext cx="1246909" cy="4381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552449</xdr:colOff>
      <xdr:row>48</xdr:row>
      <xdr:rowOff>152399</xdr:rowOff>
    </xdr:from>
    <xdr:to>
      <xdr:col>3</xdr:col>
      <xdr:colOff>9525</xdr:colOff>
      <xdr:row>50</xdr:row>
      <xdr:rowOff>85722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2049" y="10658474"/>
          <a:ext cx="676276" cy="390523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2</xdr:col>
      <xdr:colOff>345497</xdr:colOff>
      <xdr:row>54</xdr:row>
      <xdr:rowOff>161925</xdr:rowOff>
    </xdr:from>
    <xdr:to>
      <xdr:col>8</xdr:col>
      <xdr:colOff>38100</xdr:colOff>
      <xdr:row>56</xdr:row>
      <xdr:rowOff>118629</xdr:rowOff>
    </xdr:to>
    <xdr:pic>
      <xdr:nvPicPr>
        <xdr:cNvPr id="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64697" y="11887200"/>
          <a:ext cx="3369253" cy="385329"/>
        </a:xfrm>
        <a:prstGeom prst="rect">
          <a:avLst/>
        </a:prstGeom>
        <a:noFill/>
      </xdr:spPr>
    </xdr:pic>
    <xdr:clientData/>
  </xdr:twoCellAnchor>
  <xdr:twoCellAnchor>
    <xdr:from>
      <xdr:col>0</xdr:col>
      <xdr:colOff>600074</xdr:colOff>
      <xdr:row>57</xdr:row>
      <xdr:rowOff>104775</xdr:rowOff>
    </xdr:from>
    <xdr:to>
      <xdr:col>5</xdr:col>
      <xdr:colOff>28575</xdr:colOff>
      <xdr:row>59</xdr:row>
      <xdr:rowOff>102177</xdr:rowOff>
    </xdr:to>
    <xdr:pic>
      <xdr:nvPicPr>
        <xdr:cNvPr id="9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00074" y="12449175"/>
          <a:ext cx="2476501" cy="426027"/>
        </a:xfrm>
        <a:prstGeom prst="rect">
          <a:avLst/>
        </a:prstGeom>
        <a:noFill/>
      </xdr:spPr>
    </xdr:pic>
    <xdr:clientData/>
  </xdr:twoCellAnchor>
  <xdr:twoCellAnchor>
    <xdr:from>
      <xdr:col>1</xdr:col>
      <xdr:colOff>15585</xdr:colOff>
      <xdr:row>60</xdr:row>
      <xdr:rowOff>102178</xdr:rowOff>
    </xdr:from>
    <xdr:to>
      <xdr:col>4</xdr:col>
      <xdr:colOff>64942</xdr:colOff>
      <xdr:row>63</xdr:row>
      <xdr:rowOff>9526</xdr:rowOff>
    </xdr:to>
    <xdr:pic>
      <xdr:nvPicPr>
        <xdr:cNvPr id="10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25185" y="13075228"/>
          <a:ext cx="1878157" cy="478848"/>
        </a:xfrm>
        <a:prstGeom prst="rect">
          <a:avLst/>
        </a:prstGeom>
        <a:noFill/>
      </xdr:spPr>
    </xdr:pic>
    <xdr:clientData/>
  </xdr:twoCellAnchor>
  <xdr:twoCellAnchor>
    <xdr:from>
      <xdr:col>0</xdr:col>
      <xdr:colOff>552449</xdr:colOff>
      <xdr:row>67</xdr:row>
      <xdr:rowOff>83127</xdr:rowOff>
    </xdr:from>
    <xdr:to>
      <xdr:col>5</xdr:col>
      <xdr:colOff>109104</xdr:colOff>
      <xdr:row>70</xdr:row>
      <xdr:rowOff>49357</xdr:rowOff>
    </xdr:to>
    <xdr:pic>
      <xdr:nvPicPr>
        <xdr:cNvPr id="11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2049" y="8065077"/>
          <a:ext cx="2604655" cy="58535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523875</xdr:colOff>
      <xdr:row>71</xdr:row>
      <xdr:rowOff>77932</xdr:rowOff>
    </xdr:from>
    <xdr:to>
      <xdr:col>5</xdr:col>
      <xdr:colOff>137679</xdr:colOff>
      <xdr:row>74</xdr:row>
      <xdr:rowOff>77932</xdr:rowOff>
    </xdr:to>
    <xdr:pic>
      <xdr:nvPicPr>
        <xdr:cNvPr id="1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33475" y="8869507"/>
          <a:ext cx="2661804" cy="5715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501360</xdr:colOff>
      <xdr:row>75</xdr:row>
      <xdr:rowOff>49357</xdr:rowOff>
    </xdr:from>
    <xdr:to>
      <xdr:col>5</xdr:col>
      <xdr:colOff>137679</xdr:colOff>
      <xdr:row>79</xdr:row>
      <xdr:rowOff>39832</xdr:rowOff>
    </xdr:to>
    <xdr:pic>
      <xdr:nvPicPr>
        <xdr:cNvPr id="13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10960" y="15365557"/>
          <a:ext cx="2074719" cy="7524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161925</xdr:colOff>
      <xdr:row>25</xdr:row>
      <xdr:rowOff>57151</xdr:rowOff>
    </xdr:from>
    <xdr:to>
      <xdr:col>6</xdr:col>
      <xdr:colOff>161925</xdr:colOff>
      <xdr:row>26</xdr:row>
      <xdr:rowOff>104776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00325" y="5438776"/>
          <a:ext cx="1219200" cy="285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581026</xdr:colOff>
      <xdr:row>27</xdr:row>
      <xdr:rowOff>95249</xdr:rowOff>
    </xdr:from>
    <xdr:to>
      <xdr:col>2</xdr:col>
      <xdr:colOff>600076</xdr:colOff>
      <xdr:row>29</xdr:row>
      <xdr:rowOff>133350</xdr:rowOff>
    </xdr:to>
    <xdr:pic>
      <xdr:nvPicPr>
        <xdr:cNvPr id="307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1026" y="5667374"/>
          <a:ext cx="1238250" cy="419101"/>
        </a:xfrm>
        <a:prstGeom prst="rect">
          <a:avLst/>
        </a:prstGeom>
        <a:noFill/>
      </xdr:spPr>
    </xdr:pic>
    <xdr:clientData/>
  </xdr:twoCellAnchor>
  <xdr:twoCellAnchor>
    <xdr:from>
      <xdr:col>5</xdr:col>
      <xdr:colOff>9525</xdr:colOff>
      <xdr:row>27</xdr:row>
      <xdr:rowOff>114299</xdr:rowOff>
    </xdr:from>
    <xdr:to>
      <xdr:col>6</xdr:col>
      <xdr:colOff>590550</xdr:colOff>
      <xdr:row>29</xdr:row>
      <xdr:rowOff>123824</xdr:rowOff>
    </xdr:to>
    <xdr:pic>
      <xdr:nvPicPr>
        <xdr:cNvPr id="307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57525" y="5686424"/>
          <a:ext cx="1190625" cy="3905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276224</xdr:colOff>
      <xdr:row>35</xdr:row>
      <xdr:rowOff>38100</xdr:rowOff>
    </xdr:from>
    <xdr:to>
      <xdr:col>6</xdr:col>
      <xdr:colOff>133349</xdr:colOff>
      <xdr:row>36</xdr:row>
      <xdr:rowOff>76200</xdr:rowOff>
    </xdr:to>
    <xdr:pic>
      <xdr:nvPicPr>
        <xdr:cNvPr id="308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714624" y="7467600"/>
          <a:ext cx="1076325" cy="2762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276226</xdr:colOff>
      <xdr:row>38</xdr:row>
      <xdr:rowOff>28575</xdr:rowOff>
    </xdr:from>
    <xdr:to>
      <xdr:col>6</xdr:col>
      <xdr:colOff>161926</xdr:colOff>
      <xdr:row>39</xdr:row>
      <xdr:rowOff>85725</xdr:rowOff>
    </xdr:to>
    <xdr:pic>
      <xdr:nvPicPr>
        <xdr:cNvPr id="3085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714626" y="8172450"/>
          <a:ext cx="1104900" cy="295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285750</xdr:colOff>
      <xdr:row>43</xdr:row>
      <xdr:rowOff>104775</xdr:rowOff>
    </xdr:from>
    <xdr:to>
      <xdr:col>2</xdr:col>
      <xdr:colOff>38100</xdr:colOff>
      <xdr:row>45</xdr:row>
      <xdr:rowOff>104774</xdr:rowOff>
    </xdr:to>
    <xdr:pic>
      <xdr:nvPicPr>
        <xdr:cNvPr id="3091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95350" y="9391650"/>
          <a:ext cx="361950" cy="476249"/>
        </a:xfrm>
        <a:prstGeom prst="rect">
          <a:avLst/>
        </a:prstGeom>
        <a:noFill/>
      </xdr:spPr>
    </xdr:pic>
    <xdr:clientData/>
  </xdr:twoCellAnchor>
  <xdr:twoCellAnchor>
    <xdr:from>
      <xdr:col>3</xdr:col>
      <xdr:colOff>28575</xdr:colOff>
      <xdr:row>43</xdr:row>
      <xdr:rowOff>114300</xdr:rowOff>
    </xdr:from>
    <xdr:to>
      <xdr:col>5</xdr:col>
      <xdr:colOff>590550</xdr:colOff>
      <xdr:row>45</xdr:row>
      <xdr:rowOff>171450</xdr:rowOff>
    </xdr:to>
    <xdr:pic>
      <xdr:nvPicPr>
        <xdr:cNvPr id="3093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57375" y="9401175"/>
          <a:ext cx="1781175" cy="5334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209550</xdr:colOff>
      <xdr:row>47</xdr:row>
      <xdr:rowOff>0</xdr:rowOff>
    </xdr:from>
    <xdr:to>
      <xdr:col>1</xdr:col>
      <xdr:colOff>523875</xdr:colOff>
      <xdr:row>48</xdr:row>
      <xdr:rowOff>66675</xdr:rowOff>
    </xdr:to>
    <xdr:pic>
      <xdr:nvPicPr>
        <xdr:cNvPr id="3094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19150" y="11191875"/>
          <a:ext cx="314325" cy="3048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323850</xdr:colOff>
      <xdr:row>46</xdr:row>
      <xdr:rowOff>171450</xdr:rowOff>
    </xdr:from>
    <xdr:to>
      <xdr:col>3</xdr:col>
      <xdr:colOff>180975</xdr:colOff>
      <xdr:row>48</xdr:row>
      <xdr:rowOff>114299</xdr:rowOff>
    </xdr:to>
    <xdr:pic>
      <xdr:nvPicPr>
        <xdr:cNvPr id="3095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543050" y="10172700"/>
          <a:ext cx="466725" cy="447674"/>
        </a:xfrm>
        <a:prstGeom prst="rect">
          <a:avLst/>
        </a:prstGeom>
        <a:noFill/>
      </xdr:spPr>
    </xdr:pic>
    <xdr:clientData/>
  </xdr:twoCellAnchor>
  <xdr:twoCellAnchor>
    <xdr:from>
      <xdr:col>2</xdr:col>
      <xdr:colOff>57150</xdr:colOff>
      <xdr:row>10</xdr:row>
      <xdr:rowOff>161925</xdr:rowOff>
    </xdr:from>
    <xdr:to>
      <xdr:col>3</xdr:col>
      <xdr:colOff>542925</xdr:colOff>
      <xdr:row>12</xdr:row>
      <xdr:rowOff>95250</xdr:rowOff>
    </xdr:to>
    <xdr:pic>
      <xdr:nvPicPr>
        <xdr:cNvPr id="2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76350" y="2552700"/>
          <a:ext cx="1095375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600076</xdr:colOff>
      <xdr:row>19</xdr:row>
      <xdr:rowOff>123825</xdr:rowOff>
    </xdr:from>
    <xdr:to>
      <xdr:col>6</xdr:col>
      <xdr:colOff>28576</xdr:colOff>
      <xdr:row>23</xdr:row>
      <xdr:rowOff>142875</xdr:rowOff>
    </xdr:to>
    <xdr:pic>
      <xdr:nvPicPr>
        <xdr:cNvPr id="2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00076" y="4362450"/>
          <a:ext cx="3086100" cy="781050"/>
        </a:xfrm>
        <a:prstGeom prst="rect">
          <a:avLst/>
        </a:prstGeom>
        <a:ln>
          <a:noFill/>
        </a:ln>
        <a:effectLst/>
      </xdr:spPr>
    </xdr:pic>
    <xdr:clientData/>
  </xdr:twoCellAnchor>
  <xdr:twoCellAnchor>
    <xdr:from>
      <xdr:col>1</xdr:col>
      <xdr:colOff>57151</xdr:colOff>
      <xdr:row>34</xdr:row>
      <xdr:rowOff>85725</xdr:rowOff>
    </xdr:from>
    <xdr:to>
      <xdr:col>3</xdr:col>
      <xdr:colOff>1</xdr:colOff>
      <xdr:row>36</xdr:row>
      <xdr:rowOff>200025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6751" y="7324725"/>
          <a:ext cx="1162050" cy="5429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76199</xdr:colOff>
      <xdr:row>37</xdr:row>
      <xdr:rowOff>114300</xdr:rowOff>
    </xdr:from>
    <xdr:to>
      <xdr:col>3</xdr:col>
      <xdr:colOff>0</xdr:colOff>
      <xdr:row>39</xdr:row>
      <xdr:rowOff>200025</xdr:rowOff>
    </xdr:to>
    <xdr:pic>
      <xdr:nvPicPr>
        <xdr:cNvPr id="1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5799" y="8020050"/>
          <a:ext cx="1143001" cy="561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114299</xdr:colOff>
      <xdr:row>40</xdr:row>
      <xdr:rowOff>38100</xdr:rowOff>
    </xdr:from>
    <xdr:to>
      <xdr:col>2</xdr:col>
      <xdr:colOff>533400</xdr:colOff>
      <xdr:row>42</xdr:row>
      <xdr:rowOff>219075</xdr:rowOff>
    </xdr:to>
    <xdr:pic>
      <xdr:nvPicPr>
        <xdr:cNvPr id="1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3899" y="8658225"/>
          <a:ext cx="1028701" cy="6096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123825</xdr:colOff>
      <xdr:row>40</xdr:row>
      <xdr:rowOff>114300</xdr:rowOff>
    </xdr:from>
    <xdr:to>
      <xdr:col>7</xdr:col>
      <xdr:colOff>628649</xdr:colOff>
      <xdr:row>42</xdr:row>
      <xdr:rowOff>171450</xdr:rowOff>
    </xdr:to>
    <xdr:pic>
      <xdr:nvPicPr>
        <xdr:cNvPr id="307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171825" y="8734425"/>
          <a:ext cx="1724024" cy="485775"/>
        </a:xfrm>
        <a:prstGeom prst="rect">
          <a:avLst/>
        </a:prstGeom>
        <a:noFill/>
      </xdr:spPr>
    </xdr:pic>
    <xdr:clientData/>
  </xdr:twoCellAnchor>
  <xdr:twoCellAnchor>
    <xdr:from>
      <xdr:col>5</xdr:col>
      <xdr:colOff>190500</xdr:colOff>
      <xdr:row>49</xdr:row>
      <xdr:rowOff>0</xdr:rowOff>
    </xdr:from>
    <xdr:to>
      <xdr:col>6</xdr:col>
      <xdr:colOff>38100</xdr:colOff>
      <xdr:row>50</xdr:row>
      <xdr:rowOff>66675</xdr:rowOff>
    </xdr:to>
    <xdr:pic>
      <xdr:nvPicPr>
        <xdr:cNvPr id="3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28900" y="10696575"/>
          <a:ext cx="457200" cy="3333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161925</xdr:colOff>
      <xdr:row>63</xdr:row>
      <xdr:rowOff>171450</xdr:rowOff>
    </xdr:from>
    <xdr:to>
      <xdr:col>3</xdr:col>
      <xdr:colOff>609599</xdr:colOff>
      <xdr:row>65</xdr:row>
      <xdr:rowOff>180975</xdr:rowOff>
    </xdr:to>
    <xdr:pic>
      <xdr:nvPicPr>
        <xdr:cNvPr id="3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990725" y="13716000"/>
          <a:ext cx="447674" cy="3905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55</xdr:row>
      <xdr:rowOff>19049</xdr:rowOff>
    </xdr:from>
    <xdr:to>
      <xdr:col>1</xdr:col>
      <xdr:colOff>552450</xdr:colOff>
      <xdr:row>56</xdr:row>
      <xdr:rowOff>19049</xdr:rowOff>
    </xdr:to>
    <xdr:pic>
      <xdr:nvPicPr>
        <xdr:cNvPr id="3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57225" y="11934824"/>
          <a:ext cx="504825" cy="2381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8</xdr:row>
      <xdr:rowOff>171450</xdr:rowOff>
    </xdr:from>
    <xdr:to>
      <xdr:col>1</xdr:col>
      <xdr:colOff>552450</xdr:colOff>
      <xdr:row>10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47725" y="1695450"/>
          <a:ext cx="314325" cy="3810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590550</xdr:colOff>
      <xdr:row>30</xdr:row>
      <xdr:rowOff>133350</xdr:rowOff>
    </xdr:from>
    <xdr:to>
      <xdr:col>3</xdr:col>
      <xdr:colOff>552449</xdr:colOff>
      <xdr:row>32</xdr:row>
      <xdr:rowOff>66675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90550" y="4933950"/>
          <a:ext cx="1790699" cy="3143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581025</xdr:colOff>
      <xdr:row>33</xdr:row>
      <xdr:rowOff>133350</xdr:rowOff>
    </xdr:from>
    <xdr:to>
      <xdr:col>3</xdr:col>
      <xdr:colOff>571501</xdr:colOff>
      <xdr:row>35</xdr:row>
      <xdr:rowOff>104775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1025" y="5943600"/>
          <a:ext cx="1819276" cy="3619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304800</xdr:colOff>
      <xdr:row>26</xdr:row>
      <xdr:rowOff>28574</xdr:rowOff>
    </xdr:from>
    <xdr:to>
      <xdr:col>4</xdr:col>
      <xdr:colOff>581025</xdr:colOff>
      <xdr:row>27</xdr:row>
      <xdr:rowOff>47624</xdr:rowOff>
    </xdr:to>
    <xdr:pic>
      <xdr:nvPicPr>
        <xdr:cNvPr id="307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743200" y="4362449"/>
          <a:ext cx="276225" cy="2952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0</xdr:colOff>
      <xdr:row>25</xdr:row>
      <xdr:rowOff>257175</xdr:rowOff>
    </xdr:from>
    <xdr:to>
      <xdr:col>4</xdr:col>
      <xdr:colOff>314325</xdr:colOff>
      <xdr:row>27</xdr:row>
      <xdr:rowOff>171450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38400" y="4667250"/>
          <a:ext cx="314325" cy="5524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381000</xdr:colOff>
      <xdr:row>30</xdr:row>
      <xdr:rowOff>47625</xdr:rowOff>
    </xdr:from>
    <xdr:to>
      <xdr:col>6</xdr:col>
      <xdr:colOff>28575</xdr:colOff>
      <xdr:row>33</xdr:row>
      <xdr:rowOff>9525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29000" y="5286375"/>
          <a:ext cx="257175" cy="5334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390525</xdr:colOff>
      <xdr:row>33</xdr:row>
      <xdr:rowOff>95250</xdr:rowOff>
    </xdr:from>
    <xdr:to>
      <xdr:col>6</xdr:col>
      <xdr:colOff>38100</xdr:colOff>
      <xdr:row>35</xdr:row>
      <xdr:rowOff>161925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38525" y="5715000"/>
          <a:ext cx="257175" cy="4572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95250</xdr:colOff>
      <xdr:row>30</xdr:row>
      <xdr:rowOff>66675</xdr:rowOff>
    </xdr:from>
    <xdr:to>
      <xdr:col>7</xdr:col>
      <xdr:colOff>561975</xdr:colOff>
      <xdr:row>32</xdr:row>
      <xdr:rowOff>114300</xdr:rowOff>
    </xdr:to>
    <xdr:pic>
      <xdr:nvPicPr>
        <xdr:cNvPr id="307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752850" y="5495925"/>
          <a:ext cx="1076325" cy="4286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104775</xdr:colOff>
      <xdr:row>33</xdr:row>
      <xdr:rowOff>38099</xdr:rowOff>
    </xdr:from>
    <xdr:to>
      <xdr:col>7</xdr:col>
      <xdr:colOff>590550</xdr:colOff>
      <xdr:row>35</xdr:row>
      <xdr:rowOff>85723</xdr:rowOff>
    </xdr:to>
    <xdr:pic>
      <xdr:nvPicPr>
        <xdr:cNvPr id="307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762375" y="5848349"/>
          <a:ext cx="1095375" cy="438149"/>
        </a:xfrm>
        <a:prstGeom prst="rect">
          <a:avLst/>
        </a:prstGeom>
        <a:noFill/>
      </xdr:spPr>
    </xdr:pic>
    <xdr:clientData/>
  </xdr:twoCellAnchor>
  <xdr:twoCellAnchor>
    <xdr:from>
      <xdr:col>2</xdr:col>
      <xdr:colOff>57151</xdr:colOff>
      <xdr:row>36</xdr:row>
      <xdr:rowOff>66675</xdr:rowOff>
    </xdr:from>
    <xdr:to>
      <xdr:col>5</xdr:col>
      <xdr:colOff>0</xdr:colOff>
      <xdr:row>38</xdr:row>
      <xdr:rowOff>123825</xdr:rowOff>
    </xdr:to>
    <xdr:pic>
      <xdr:nvPicPr>
        <xdr:cNvPr id="308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76351" y="6457950"/>
          <a:ext cx="1771649" cy="4381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</xdr:colOff>
      <xdr:row>40</xdr:row>
      <xdr:rowOff>104775</xdr:rowOff>
    </xdr:from>
    <xdr:to>
      <xdr:col>3</xdr:col>
      <xdr:colOff>295275</xdr:colOff>
      <xdr:row>41</xdr:row>
      <xdr:rowOff>161923</xdr:rowOff>
    </xdr:to>
    <xdr:pic>
      <xdr:nvPicPr>
        <xdr:cNvPr id="3081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47700" y="7258050"/>
          <a:ext cx="1476375" cy="485773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95251</xdr:colOff>
      <xdr:row>46</xdr:row>
      <xdr:rowOff>142874</xdr:rowOff>
    </xdr:from>
    <xdr:to>
      <xdr:col>1</xdr:col>
      <xdr:colOff>571501</xdr:colOff>
      <xdr:row>48</xdr:row>
      <xdr:rowOff>76199</xdr:rowOff>
    </xdr:to>
    <xdr:pic>
      <xdr:nvPicPr>
        <xdr:cNvPr id="308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04851" y="8505824"/>
          <a:ext cx="476250" cy="3143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152400</xdr:colOff>
      <xdr:row>46</xdr:row>
      <xdr:rowOff>190499</xdr:rowOff>
    </xdr:from>
    <xdr:to>
      <xdr:col>6</xdr:col>
      <xdr:colOff>9525</xdr:colOff>
      <xdr:row>48</xdr:row>
      <xdr:rowOff>47624</xdr:rowOff>
    </xdr:to>
    <xdr:pic>
      <xdr:nvPicPr>
        <xdr:cNvPr id="308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200400" y="8553449"/>
          <a:ext cx="466725" cy="2381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95249</xdr:colOff>
      <xdr:row>48</xdr:row>
      <xdr:rowOff>76200</xdr:rowOff>
    </xdr:from>
    <xdr:to>
      <xdr:col>5</xdr:col>
      <xdr:colOff>561974</xdr:colOff>
      <xdr:row>50</xdr:row>
      <xdr:rowOff>161924</xdr:rowOff>
    </xdr:to>
    <xdr:pic>
      <xdr:nvPicPr>
        <xdr:cNvPr id="3087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04849" y="8820150"/>
          <a:ext cx="2905125" cy="466724"/>
        </a:xfrm>
        <a:prstGeom prst="rect">
          <a:avLst/>
        </a:prstGeom>
        <a:noFill/>
      </xdr:spPr>
    </xdr:pic>
    <xdr:clientData/>
  </xdr:twoCellAnchor>
  <xdr:twoCellAnchor>
    <xdr:from>
      <xdr:col>2</xdr:col>
      <xdr:colOff>47624</xdr:colOff>
      <xdr:row>51</xdr:row>
      <xdr:rowOff>76200</xdr:rowOff>
    </xdr:from>
    <xdr:to>
      <xdr:col>5</xdr:col>
      <xdr:colOff>561975</xdr:colOff>
      <xdr:row>53</xdr:row>
      <xdr:rowOff>47624</xdr:rowOff>
    </xdr:to>
    <xdr:pic>
      <xdr:nvPicPr>
        <xdr:cNvPr id="3089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66824" y="9391650"/>
          <a:ext cx="2343151" cy="352424"/>
        </a:xfrm>
        <a:prstGeom prst="rect">
          <a:avLst/>
        </a:prstGeom>
        <a:noFill/>
      </xdr:spPr>
    </xdr:pic>
    <xdr:clientData/>
  </xdr:twoCellAnchor>
  <xdr:twoCellAnchor>
    <xdr:from>
      <xdr:col>1</xdr:col>
      <xdr:colOff>114300</xdr:colOff>
      <xdr:row>55</xdr:row>
      <xdr:rowOff>152400</xdr:rowOff>
    </xdr:from>
    <xdr:to>
      <xdr:col>1</xdr:col>
      <xdr:colOff>561975</xdr:colOff>
      <xdr:row>57</xdr:row>
      <xdr:rowOff>104775</xdr:rowOff>
    </xdr:to>
    <xdr:pic>
      <xdr:nvPicPr>
        <xdr:cNvPr id="3091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3900" y="11201400"/>
          <a:ext cx="447675" cy="381000"/>
        </a:xfrm>
        <a:prstGeom prst="rect">
          <a:avLst/>
        </a:prstGeom>
        <a:noFill/>
      </xdr:spPr>
    </xdr:pic>
    <xdr:clientData/>
  </xdr:twoCellAnchor>
  <xdr:twoCellAnchor>
    <xdr:from>
      <xdr:col>3</xdr:col>
      <xdr:colOff>304800</xdr:colOff>
      <xdr:row>55</xdr:row>
      <xdr:rowOff>133350</xdr:rowOff>
    </xdr:from>
    <xdr:to>
      <xdr:col>3</xdr:col>
      <xdr:colOff>561975</xdr:colOff>
      <xdr:row>57</xdr:row>
      <xdr:rowOff>161925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133600" y="11182350"/>
          <a:ext cx="257175" cy="4572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28576</xdr:colOff>
      <xdr:row>55</xdr:row>
      <xdr:rowOff>161925</xdr:rowOff>
    </xdr:from>
    <xdr:to>
      <xdr:col>6</xdr:col>
      <xdr:colOff>19050</xdr:colOff>
      <xdr:row>57</xdr:row>
      <xdr:rowOff>171450</xdr:rowOff>
    </xdr:to>
    <xdr:pic>
      <xdr:nvPicPr>
        <xdr:cNvPr id="3093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66976" y="11210925"/>
          <a:ext cx="1209674" cy="4381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447677</xdr:colOff>
      <xdr:row>58</xdr:row>
      <xdr:rowOff>114299</xdr:rowOff>
    </xdr:from>
    <xdr:to>
      <xdr:col>6</xdr:col>
      <xdr:colOff>533401</xdr:colOff>
      <xdr:row>60</xdr:row>
      <xdr:rowOff>66674</xdr:rowOff>
    </xdr:to>
    <xdr:pic>
      <xdr:nvPicPr>
        <xdr:cNvPr id="3094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66877" y="11782424"/>
          <a:ext cx="2524124" cy="3333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47626</xdr:colOff>
      <xdr:row>62</xdr:row>
      <xdr:rowOff>57150</xdr:rowOff>
    </xdr:from>
    <xdr:to>
      <xdr:col>3</xdr:col>
      <xdr:colOff>9526</xdr:colOff>
      <xdr:row>65</xdr:row>
      <xdr:rowOff>9525</xdr:rowOff>
    </xdr:to>
    <xdr:pic>
      <xdr:nvPicPr>
        <xdr:cNvPr id="3095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57226" y="13163550"/>
          <a:ext cx="1181100" cy="5334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9525</xdr:colOff>
      <xdr:row>63</xdr:row>
      <xdr:rowOff>28575</xdr:rowOff>
    </xdr:from>
    <xdr:to>
      <xdr:col>6</xdr:col>
      <xdr:colOff>561975</xdr:colOff>
      <xdr:row>64</xdr:row>
      <xdr:rowOff>57150</xdr:rowOff>
    </xdr:to>
    <xdr:pic>
      <xdr:nvPicPr>
        <xdr:cNvPr id="3096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57525" y="13325475"/>
          <a:ext cx="1162050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152400</xdr:colOff>
      <xdr:row>71</xdr:row>
      <xdr:rowOff>0</xdr:rowOff>
    </xdr:from>
    <xdr:to>
      <xdr:col>8</xdr:col>
      <xdr:colOff>19050</xdr:colOff>
      <xdr:row>72</xdr:row>
      <xdr:rowOff>57150</xdr:rowOff>
    </xdr:to>
    <xdr:pic>
      <xdr:nvPicPr>
        <xdr:cNvPr id="3097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19600" y="14706600"/>
          <a:ext cx="476250" cy="3238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238126</xdr:colOff>
      <xdr:row>71</xdr:row>
      <xdr:rowOff>0</xdr:rowOff>
    </xdr:from>
    <xdr:to>
      <xdr:col>3</xdr:col>
      <xdr:colOff>142875</xdr:colOff>
      <xdr:row>72</xdr:row>
      <xdr:rowOff>95250</xdr:rowOff>
    </xdr:to>
    <xdr:pic>
      <xdr:nvPicPr>
        <xdr:cNvPr id="3098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57326" y="14706600"/>
          <a:ext cx="514349" cy="3619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209550</xdr:colOff>
      <xdr:row>72</xdr:row>
      <xdr:rowOff>123824</xdr:rowOff>
    </xdr:from>
    <xdr:to>
      <xdr:col>4</xdr:col>
      <xdr:colOff>466725</xdr:colOff>
      <xdr:row>75</xdr:row>
      <xdr:rowOff>9524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47950" y="15106649"/>
          <a:ext cx="257175" cy="5048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190501</xdr:colOff>
      <xdr:row>75</xdr:row>
      <xdr:rowOff>47625</xdr:rowOff>
    </xdr:from>
    <xdr:to>
      <xdr:col>4</xdr:col>
      <xdr:colOff>447676</xdr:colOff>
      <xdr:row>77</xdr:row>
      <xdr:rowOff>123825</xdr:rowOff>
    </xdr:to>
    <xdr:pic>
      <xdr:nvPicPr>
        <xdr:cNvPr id="3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28901" y="15649575"/>
          <a:ext cx="257175" cy="5524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476250</xdr:colOff>
      <xdr:row>72</xdr:row>
      <xdr:rowOff>171450</xdr:rowOff>
    </xdr:from>
    <xdr:to>
      <xdr:col>6</xdr:col>
      <xdr:colOff>34290</xdr:colOff>
      <xdr:row>74</xdr:row>
      <xdr:rowOff>95250</xdr:rowOff>
    </xdr:to>
    <xdr:pic>
      <xdr:nvPicPr>
        <xdr:cNvPr id="3099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133850" y="15344775"/>
          <a:ext cx="167640" cy="3048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495300</xdr:colOff>
      <xdr:row>75</xdr:row>
      <xdr:rowOff>161925</xdr:rowOff>
    </xdr:from>
    <xdr:to>
      <xdr:col>6</xdr:col>
      <xdr:colOff>63818</xdr:colOff>
      <xdr:row>77</xdr:row>
      <xdr:rowOff>104775</xdr:rowOff>
    </xdr:to>
    <xdr:pic>
      <xdr:nvPicPr>
        <xdr:cNvPr id="3100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152900" y="15716250"/>
          <a:ext cx="178118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657226</xdr:colOff>
      <xdr:row>82</xdr:row>
      <xdr:rowOff>171450</xdr:rowOff>
    </xdr:from>
    <xdr:to>
      <xdr:col>5</xdr:col>
      <xdr:colOff>685801</xdr:colOff>
      <xdr:row>86</xdr:row>
      <xdr:rowOff>19050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57226" y="16916400"/>
          <a:ext cx="3505200" cy="5715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342901</xdr:colOff>
      <xdr:row>79</xdr:row>
      <xdr:rowOff>57150</xdr:rowOff>
    </xdr:from>
    <xdr:to>
      <xdr:col>1</xdr:col>
      <xdr:colOff>647701</xdr:colOff>
      <xdr:row>82</xdr:row>
      <xdr:rowOff>19050</xdr:rowOff>
    </xdr:to>
    <xdr:pic>
      <xdr:nvPicPr>
        <xdr:cNvPr id="30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8226" y="16211550"/>
          <a:ext cx="304800" cy="5524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180975</xdr:colOff>
      <xdr:row>19</xdr:row>
      <xdr:rowOff>38100</xdr:rowOff>
    </xdr:from>
    <xdr:to>
      <xdr:col>1</xdr:col>
      <xdr:colOff>495300</xdr:colOff>
      <xdr:row>20</xdr:row>
      <xdr:rowOff>219075</xdr:rowOff>
    </xdr:to>
    <xdr:pic>
      <xdr:nvPicPr>
        <xdr:cNvPr id="33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76300" y="3810000"/>
          <a:ext cx="314325" cy="3619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19050</xdr:colOff>
      <xdr:row>86</xdr:row>
      <xdr:rowOff>171451</xdr:rowOff>
    </xdr:from>
    <xdr:to>
      <xdr:col>5</xdr:col>
      <xdr:colOff>19050</xdr:colOff>
      <xdr:row>95</xdr:row>
      <xdr:rowOff>66675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714375" y="17840326"/>
          <a:ext cx="2781300" cy="176212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28576</xdr:colOff>
      <xdr:row>111</xdr:row>
      <xdr:rowOff>133350</xdr:rowOff>
    </xdr:from>
    <xdr:to>
      <xdr:col>6</xdr:col>
      <xdr:colOff>0</xdr:colOff>
      <xdr:row>118</xdr:row>
      <xdr:rowOff>38098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3"/>
        <a:srcRect l="3305" t="5176" b="9612"/>
        <a:stretch>
          <a:fillRect/>
        </a:stretch>
      </xdr:blipFill>
      <xdr:spPr bwMode="auto">
        <a:xfrm>
          <a:off x="723901" y="23888700"/>
          <a:ext cx="3400424" cy="1171573"/>
        </a:xfrm>
        <a:prstGeom prst="rect">
          <a:avLst/>
        </a:prstGeom>
        <a:noFill/>
      </xdr:spPr>
    </xdr:pic>
    <xdr:clientData/>
  </xdr:twoCellAnchor>
  <xdr:twoCellAnchor>
    <xdr:from>
      <xdr:col>2</xdr:col>
      <xdr:colOff>209550</xdr:colOff>
      <xdr:row>109</xdr:row>
      <xdr:rowOff>142875</xdr:rowOff>
    </xdr:from>
    <xdr:to>
      <xdr:col>2</xdr:col>
      <xdr:colOff>390525</xdr:colOff>
      <xdr:row>111</xdr:row>
      <xdr:rowOff>161925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00200" y="22412325"/>
          <a:ext cx="180975" cy="3905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257175</xdr:colOff>
      <xdr:row>110</xdr:row>
      <xdr:rowOff>19050</xdr:rowOff>
    </xdr:from>
    <xdr:to>
      <xdr:col>2</xdr:col>
      <xdr:colOff>352425</xdr:colOff>
      <xdr:row>112</xdr:row>
      <xdr:rowOff>28575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47825" y="22469475"/>
          <a:ext cx="95250" cy="3810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140967</xdr:colOff>
      <xdr:row>109</xdr:row>
      <xdr:rowOff>161925</xdr:rowOff>
    </xdr:from>
    <xdr:to>
      <xdr:col>5</xdr:col>
      <xdr:colOff>257174</xdr:colOff>
      <xdr:row>112</xdr:row>
      <xdr:rowOff>0</xdr:rowOff>
    </xdr:to>
    <xdr:pic>
      <xdr:nvPicPr>
        <xdr:cNvPr id="3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41742" y="18011775"/>
          <a:ext cx="116207" cy="3810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68580</xdr:colOff>
      <xdr:row>109</xdr:row>
      <xdr:rowOff>95250</xdr:rowOff>
    </xdr:from>
    <xdr:to>
      <xdr:col>5</xdr:col>
      <xdr:colOff>266700</xdr:colOff>
      <xdr:row>111</xdr:row>
      <xdr:rowOff>114300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269355" y="17945100"/>
          <a:ext cx="198120" cy="3905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552451</xdr:colOff>
      <xdr:row>109</xdr:row>
      <xdr:rowOff>128814</xdr:rowOff>
    </xdr:from>
    <xdr:to>
      <xdr:col>6</xdr:col>
      <xdr:colOff>9526</xdr:colOff>
      <xdr:row>111</xdr:row>
      <xdr:rowOff>57150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333751" y="19845564"/>
          <a:ext cx="152400" cy="290286"/>
        </a:xfrm>
        <a:prstGeom prst="rect">
          <a:avLst/>
        </a:prstGeom>
        <a:noFill/>
      </xdr:spPr>
    </xdr:pic>
    <xdr:clientData/>
  </xdr:twoCellAnchor>
  <xdr:twoCellAnchor>
    <xdr:from>
      <xdr:col>3</xdr:col>
      <xdr:colOff>57150</xdr:colOff>
      <xdr:row>109</xdr:row>
      <xdr:rowOff>133350</xdr:rowOff>
    </xdr:from>
    <xdr:to>
      <xdr:col>3</xdr:col>
      <xdr:colOff>209550</xdr:colOff>
      <xdr:row>111</xdr:row>
      <xdr:rowOff>61686</xdr:rowOff>
    </xdr:to>
    <xdr:pic>
      <xdr:nvPicPr>
        <xdr:cNvPr id="42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143125" y="22402800"/>
          <a:ext cx="152400" cy="299811"/>
        </a:xfrm>
        <a:prstGeom prst="rect">
          <a:avLst/>
        </a:prstGeom>
        <a:noFill/>
      </xdr:spPr>
    </xdr:pic>
    <xdr:clientData/>
  </xdr:twoCellAnchor>
  <xdr:twoCellAnchor>
    <xdr:from>
      <xdr:col>8</xdr:col>
      <xdr:colOff>142877</xdr:colOff>
      <xdr:row>91</xdr:row>
      <xdr:rowOff>104775</xdr:rowOff>
    </xdr:from>
    <xdr:to>
      <xdr:col>8</xdr:col>
      <xdr:colOff>533401</xdr:colOff>
      <xdr:row>92</xdr:row>
      <xdr:rowOff>180975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705477" y="18773775"/>
          <a:ext cx="390524" cy="3048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133350</xdr:colOff>
      <xdr:row>89</xdr:row>
      <xdr:rowOff>95250</xdr:rowOff>
    </xdr:from>
    <xdr:to>
      <xdr:col>8</xdr:col>
      <xdr:colOff>504825</xdr:colOff>
      <xdr:row>90</xdr:row>
      <xdr:rowOff>171450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695950" y="18307050"/>
          <a:ext cx="371475" cy="3048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381000</xdr:colOff>
      <xdr:row>88</xdr:row>
      <xdr:rowOff>152400</xdr:rowOff>
    </xdr:from>
    <xdr:to>
      <xdr:col>7</xdr:col>
      <xdr:colOff>685800</xdr:colOff>
      <xdr:row>91</xdr:row>
      <xdr:rowOff>66675</xdr:rowOff>
    </xdr:to>
    <xdr:pic>
      <xdr:nvPicPr>
        <xdr:cNvPr id="52" name="Picture 5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48275" y="18183225"/>
          <a:ext cx="304800" cy="5524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381000</xdr:colOff>
      <xdr:row>90</xdr:row>
      <xdr:rowOff>200025</xdr:rowOff>
    </xdr:from>
    <xdr:to>
      <xdr:col>7</xdr:col>
      <xdr:colOff>685800</xdr:colOff>
      <xdr:row>93</xdr:row>
      <xdr:rowOff>66675</xdr:rowOff>
    </xdr:to>
    <xdr:pic>
      <xdr:nvPicPr>
        <xdr:cNvPr id="53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48275" y="21050250"/>
          <a:ext cx="304800" cy="5524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647700</xdr:colOff>
      <xdr:row>97</xdr:row>
      <xdr:rowOff>133350</xdr:rowOff>
    </xdr:from>
    <xdr:to>
      <xdr:col>3</xdr:col>
      <xdr:colOff>685799</xdr:colOff>
      <xdr:row>99</xdr:row>
      <xdr:rowOff>47625</xdr:rowOff>
    </xdr:to>
    <xdr:pic>
      <xdr:nvPicPr>
        <xdr:cNvPr id="5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43025" y="21116925"/>
          <a:ext cx="1428749" cy="2762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571501</xdr:colOff>
      <xdr:row>97</xdr:row>
      <xdr:rowOff>28577</xdr:rowOff>
    </xdr:from>
    <xdr:to>
      <xdr:col>7</xdr:col>
      <xdr:colOff>628651</xdr:colOff>
      <xdr:row>99</xdr:row>
      <xdr:rowOff>171451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048126" y="21012152"/>
          <a:ext cx="1447800" cy="504824"/>
        </a:xfrm>
        <a:prstGeom prst="rect">
          <a:avLst/>
        </a:prstGeom>
        <a:noFill/>
      </xdr:spPr>
    </xdr:pic>
    <xdr:clientData/>
  </xdr:twoCellAnchor>
  <xdr:twoCellAnchor>
    <xdr:from>
      <xdr:col>1</xdr:col>
      <xdr:colOff>438149</xdr:colOff>
      <xdr:row>123</xdr:row>
      <xdr:rowOff>133350</xdr:rowOff>
    </xdr:from>
    <xdr:to>
      <xdr:col>1</xdr:col>
      <xdr:colOff>695324</xdr:colOff>
      <xdr:row>125</xdr:row>
      <xdr:rowOff>95250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33474" y="21717000"/>
          <a:ext cx="257175" cy="3238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323850</xdr:colOff>
      <xdr:row>123</xdr:row>
      <xdr:rowOff>95250</xdr:rowOff>
    </xdr:from>
    <xdr:to>
      <xdr:col>4</xdr:col>
      <xdr:colOff>685800</xdr:colOff>
      <xdr:row>125</xdr:row>
      <xdr:rowOff>57150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105150" y="21678900"/>
          <a:ext cx="361950" cy="3238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152400</xdr:colOff>
      <xdr:row>123</xdr:row>
      <xdr:rowOff>114300</xdr:rowOff>
    </xdr:from>
    <xdr:to>
      <xdr:col>8</xdr:col>
      <xdr:colOff>28575</xdr:colOff>
      <xdr:row>125</xdr:row>
      <xdr:rowOff>104775</xdr:rowOff>
    </xdr:to>
    <xdr:pic>
      <xdr:nvPicPr>
        <xdr:cNvPr id="104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19675" y="21697950"/>
          <a:ext cx="571500" cy="3524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262468</xdr:colOff>
      <xdr:row>98</xdr:row>
      <xdr:rowOff>28576</xdr:rowOff>
    </xdr:from>
    <xdr:to>
      <xdr:col>3</xdr:col>
      <xdr:colOff>452968</xdr:colOff>
      <xdr:row>99</xdr:row>
      <xdr:rowOff>104775</xdr:rowOff>
    </xdr:to>
    <xdr:pic>
      <xdr:nvPicPr>
        <xdr:cNvPr id="1048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2348443" y="21193126"/>
          <a:ext cx="190500" cy="257174"/>
        </a:xfrm>
        <a:prstGeom prst="rect">
          <a:avLst/>
        </a:prstGeom>
        <a:noFill/>
      </xdr:spPr>
    </xdr:pic>
    <xdr:clientData/>
  </xdr:twoCellAnchor>
  <xdr:twoCellAnchor>
    <xdr:from>
      <xdr:col>1</xdr:col>
      <xdr:colOff>466725</xdr:colOff>
      <xdr:row>100</xdr:row>
      <xdr:rowOff>114300</xdr:rowOff>
    </xdr:from>
    <xdr:to>
      <xdr:col>2</xdr:col>
      <xdr:colOff>28575</xdr:colOff>
      <xdr:row>102</xdr:row>
      <xdr:rowOff>76200</xdr:rowOff>
    </xdr:to>
    <xdr:pic>
      <xdr:nvPicPr>
        <xdr:cNvPr id="66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2050" y="21640800"/>
          <a:ext cx="257175" cy="3238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314325</xdr:colOff>
      <xdr:row>100</xdr:row>
      <xdr:rowOff>114300</xdr:rowOff>
    </xdr:from>
    <xdr:to>
      <xdr:col>4</xdr:col>
      <xdr:colOff>676275</xdr:colOff>
      <xdr:row>102</xdr:row>
      <xdr:rowOff>76200</xdr:rowOff>
    </xdr:to>
    <xdr:pic>
      <xdr:nvPicPr>
        <xdr:cNvPr id="67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95625" y="21640800"/>
          <a:ext cx="361950" cy="3238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428625</xdr:colOff>
      <xdr:row>100</xdr:row>
      <xdr:rowOff>152400</xdr:rowOff>
    </xdr:from>
    <xdr:to>
      <xdr:col>8</xdr:col>
      <xdr:colOff>19050</xdr:colOff>
      <xdr:row>102</xdr:row>
      <xdr:rowOff>47625</xdr:rowOff>
    </xdr:to>
    <xdr:pic>
      <xdr:nvPicPr>
        <xdr:cNvPr id="1049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95900" y="21678900"/>
          <a:ext cx="285750" cy="2571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638175</xdr:colOff>
      <xdr:row>102</xdr:row>
      <xdr:rowOff>76200</xdr:rowOff>
    </xdr:from>
    <xdr:to>
      <xdr:col>4</xdr:col>
      <xdr:colOff>0</xdr:colOff>
      <xdr:row>104</xdr:row>
      <xdr:rowOff>171450</xdr:rowOff>
    </xdr:to>
    <xdr:pic>
      <xdr:nvPicPr>
        <xdr:cNvPr id="69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028825" y="21964650"/>
          <a:ext cx="752475" cy="4572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28575</xdr:colOff>
      <xdr:row>102</xdr:row>
      <xdr:rowOff>171450</xdr:rowOff>
    </xdr:from>
    <xdr:to>
      <xdr:col>6</xdr:col>
      <xdr:colOff>304799</xdr:colOff>
      <xdr:row>104</xdr:row>
      <xdr:rowOff>66675</xdr:rowOff>
    </xdr:to>
    <xdr:pic>
      <xdr:nvPicPr>
        <xdr:cNvPr id="1050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505200" y="22059900"/>
          <a:ext cx="971549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561975</xdr:colOff>
      <xdr:row>126</xdr:row>
      <xdr:rowOff>161925</xdr:rowOff>
    </xdr:from>
    <xdr:to>
      <xdr:col>1</xdr:col>
      <xdr:colOff>228600</xdr:colOff>
      <xdr:row>128</xdr:row>
      <xdr:rowOff>57150</xdr:rowOff>
    </xdr:to>
    <xdr:pic>
      <xdr:nvPicPr>
        <xdr:cNvPr id="105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61975" y="25565100"/>
          <a:ext cx="361950" cy="257175"/>
        </a:xfrm>
        <a:prstGeom prst="rect">
          <a:avLst/>
        </a:prstGeom>
        <a:noFill/>
      </xdr:spPr>
    </xdr:pic>
    <xdr:clientData/>
  </xdr:twoCellAnchor>
  <xdr:twoCellAnchor>
    <xdr:from>
      <xdr:col>3</xdr:col>
      <xdr:colOff>304800</xdr:colOff>
      <xdr:row>126</xdr:row>
      <xdr:rowOff>95250</xdr:rowOff>
    </xdr:from>
    <xdr:to>
      <xdr:col>5</xdr:col>
      <xdr:colOff>609600</xdr:colOff>
      <xdr:row>128</xdr:row>
      <xdr:rowOff>152400</xdr:rowOff>
    </xdr:to>
    <xdr:pic>
      <xdr:nvPicPr>
        <xdr:cNvPr id="1053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390775" y="25498425"/>
          <a:ext cx="1695450" cy="4191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447675</xdr:colOff>
      <xdr:row>126</xdr:row>
      <xdr:rowOff>28575</xdr:rowOff>
    </xdr:from>
    <xdr:to>
      <xdr:col>3</xdr:col>
      <xdr:colOff>57150</xdr:colOff>
      <xdr:row>129</xdr:row>
      <xdr:rowOff>38100</xdr:rowOff>
    </xdr:to>
    <xdr:pic>
      <xdr:nvPicPr>
        <xdr:cNvPr id="73" name="Picture 7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38325" y="25431750"/>
          <a:ext cx="304800" cy="5524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457200</xdr:colOff>
      <xdr:row>129</xdr:row>
      <xdr:rowOff>47625</xdr:rowOff>
    </xdr:from>
    <xdr:to>
      <xdr:col>4</xdr:col>
      <xdr:colOff>19050</xdr:colOff>
      <xdr:row>132</xdr:row>
      <xdr:rowOff>28575</xdr:rowOff>
    </xdr:to>
    <xdr:pic>
      <xdr:nvPicPr>
        <xdr:cNvPr id="1054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47850" y="25812750"/>
          <a:ext cx="952500" cy="5238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685800</xdr:colOff>
      <xdr:row>130</xdr:row>
      <xdr:rowOff>0</xdr:rowOff>
    </xdr:from>
    <xdr:to>
      <xdr:col>6</xdr:col>
      <xdr:colOff>152400</xdr:colOff>
      <xdr:row>131</xdr:row>
      <xdr:rowOff>76200</xdr:rowOff>
    </xdr:to>
    <xdr:pic>
      <xdr:nvPicPr>
        <xdr:cNvPr id="105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67100" y="25946100"/>
          <a:ext cx="857250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685799</xdr:colOff>
      <xdr:row>134</xdr:row>
      <xdr:rowOff>0</xdr:rowOff>
    </xdr:from>
    <xdr:to>
      <xdr:col>2</xdr:col>
      <xdr:colOff>542924</xdr:colOff>
      <xdr:row>135</xdr:row>
      <xdr:rowOff>76200</xdr:rowOff>
    </xdr:to>
    <xdr:pic>
      <xdr:nvPicPr>
        <xdr:cNvPr id="1057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5799" y="26870025"/>
          <a:ext cx="1247775" cy="257175"/>
        </a:xfrm>
        <a:prstGeom prst="rect">
          <a:avLst/>
        </a:prstGeom>
        <a:noFill/>
      </xdr:spPr>
    </xdr:pic>
    <xdr:clientData/>
  </xdr:twoCellAnchor>
  <xdr:twoCellAnchor>
    <xdr:from>
      <xdr:col>5</xdr:col>
      <xdr:colOff>390525</xdr:colOff>
      <xdr:row>134</xdr:row>
      <xdr:rowOff>0</xdr:rowOff>
    </xdr:from>
    <xdr:to>
      <xdr:col>6</xdr:col>
      <xdr:colOff>28575</xdr:colOff>
      <xdr:row>135</xdr:row>
      <xdr:rowOff>66675</xdr:rowOff>
    </xdr:to>
    <xdr:pic>
      <xdr:nvPicPr>
        <xdr:cNvPr id="1058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67150" y="26860500"/>
          <a:ext cx="333375" cy="2571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457200</xdr:colOff>
      <xdr:row>136</xdr:row>
      <xdr:rowOff>76200</xdr:rowOff>
    </xdr:from>
    <xdr:to>
      <xdr:col>3</xdr:col>
      <xdr:colOff>676275</xdr:colOff>
      <xdr:row>139</xdr:row>
      <xdr:rowOff>0</xdr:rowOff>
    </xdr:to>
    <xdr:pic>
      <xdr:nvPicPr>
        <xdr:cNvPr id="1059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47850" y="27127200"/>
          <a:ext cx="914400" cy="4667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137</xdr:row>
      <xdr:rowOff>0</xdr:rowOff>
    </xdr:from>
    <xdr:to>
      <xdr:col>6</xdr:col>
      <xdr:colOff>161925</xdr:colOff>
      <xdr:row>138</xdr:row>
      <xdr:rowOff>76200</xdr:rowOff>
    </xdr:to>
    <xdr:pic>
      <xdr:nvPicPr>
        <xdr:cNvPr id="1060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76625" y="27231975"/>
          <a:ext cx="857250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581025</xdr:colOff>
      <xdr:row>144</xdr:row>
      <xdr:rowOff>57150</xdr:rowOff>
    </xdr:from>
    <xdr:to>
      <xdr:col>1</xdr:col>
      <xdr:colOff>666750</xdr:colOff>
      <xdr:row>146</xdr:row>
      <xdr:rowOff>152400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1025" y="28575000"/>
          <a:ext cx="781050" cy="4572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647700</xdr:colOff>
      <xdr:row>144</xdr:row>
      <xdr:rowOff>66675</xdr:rowOff>
    </xdr:from>
    <xdr:to>
      <xdr:col>5</xdr:col>
      <xdr:colOff>685800</xdr:colOff>
      <xdr:row>146</xdr:row>
      <xdr:rowOff>171450</xdr:rowOff>
    </xdr:to>
    <xdr:pic>
      <xdr:nvPicPr>
        <xdr:cNvPr id="1062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29000" y="28584525"/>
          <a:ext cx="733425" cy="4667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533400</xdr:colOff>
      <xdr:row>146</xdr:row>
      <xdr:rowOff>171450</xdr:rowOff>
    </xdr:from>
    <xdr:to>
      <xdr:col>2</xdr:col>
      <xdr:colOff>657225</xdr:colOff>
      <xdr:row>148</xdr:row>
      <xdr:rowOff>66675</xdr:rowOff>
    </xdr:to>
    <xdr:pic>
      <xdr:nvPicPr>
        <xdr:cNvPr id="1064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924050" y="29051250"/>
          <a:ext cx="123825" cy="257175"/>
        </a:xfrm>
        <a:prstGeom prst="rect">
          <a:avLst/>
        </a:prstGeom>
        <a:noFill/>
      </xdr:spPr>
    </xdr:pic>
    <xdr:clientData/>
  </xdr:twoCellAnchor>
  <xdr:twoCellAnchor>
    <xdr:from>
      <xdr:col>6</xdr:col>
      <xdr:colOff>9525</xdr:colOff>
      <xdr:row>149</xdr:row>
      <xdr:rowOff>0</xdr:rowOff>
    </xdr:from>
    <xdr:to>
      <xdr:col>7</xdr:col>
      <xdr:colOff>133350</xdr:colOff>
      <xdr:row>150</xdr:row>
      <xdr:rowOff>76200</xdr:rowOff>
    </xdr:to>
    <xdr:pic>
      <xdr:nvPicPr>
        <xdr:cNvPr id="1068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181475" y="29603700"/>
          <a:ext cx="819150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571500</xdr:colOff>
      <xdr:row>149</xdr:row>
      <xdr:rowOff>0</xdr:rowOff>
    </xdr:from>
    <xdr:to>
      <xdr:col>5</xdr:col>
      <xdr:colOff>66675</xdr:colOff>
      <xdr:row>150</xdr:row>
      <xdr:rowOff>76200</xdr:rowOff>
    </xdr:to>
    <xdr:pic>
      <xdr:nvPicPr>
        <xdr:cNvPr id="1069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71500" y="29603700"/>
          <a:ext cx="2971800" cy="2571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28575</xdr:colOff>
      <xdr:row>150</xdr:row>
      <xdr:rowOff>19050</xdr:rowOff>
    </xdr:from>
    <xdr:to>
      <xdr:col>8</xdr:col>
      <xdr:colOff>438150</xdr:colOff>
      <xdr:row>153</xdr:row>
      <xdr:rowOff>28575</xdr:rowOff>
    </xdr:to>
    <xdr:pic>
      <xdr:nvPicPr>
        <xdr:cNvPr id="88" name="Picture 8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91175" y="29803725"/>
          <a:ext cx="409575" cy="552450"/>
        </a:xfrm>
        <a:prstGeom prst="rect">
          <a:avLst/>
        </a:prstGeom>
        <a:noFill/>
      </xdr:spPr>
    </xdr:pic>
    <xdr:clientData/>
  </xdr:twoCellAnchor>
  <xdr:twoCellAnchor>
    <xdr:from>
      <xdr:col>6</xdr:col>
      <xdr:colOff>219075</xdr:colOff>
      <xdr:row>150</xdr:row>
      <xdr:rowOff>171450</xdr:rowOff>
    </xdr:from>
    <xdr:to>
      <xdr:col>6</xdr:col>
      <xdr:colOff>666750</xdr:colOff>
      <xdr:row>152</xdr:row>
      <xdr:rowOff>66675</xdr:rowOff>
    </xdr:to>
    <xdr:pic>
      <xdr:nvPicPr>
        <xdr:cNvPr id="1070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91025" y="29956125"/>
          <a:ext cx="447675" cy="257175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1" name="IPE" displayName="IPE" ref="D5:S14" totalsRowShown="0">
  <autoFilter ref="D5:S14"/>
  <tableColumns count="16">
    <tableColumn id="1" name="IPE  nom," dataDxfId="39"/>
    <tableColumn id="2" name="h  (m.m)" dataDxfId="38"/>
    <tableColumn id="3" name="b (m.m)"/>
    <tableColumn id="4" name="s (m.m)"/>
    <tableColumn id="5" name="t (m.m)"/>
    <tableColumn id="6" name="r (m.m)"/>
    <tableColumn id="7" name="c (k) (m.m)"/>
    <tableColumn id="8" name="A(cm2)"/>
    <tableColumn id="9" name="Ix (cm4)"/>
    <tableColumn id="10" name="Sx (cm3)"/>
    <tableColumn id="11" name="rx (cm)"/>
    <tableColumn id="12" name="Iy (cm4)"/>
    <tableColumn id="13" name="Sy (cm3)"/>
    <tableColumn id="14" name="ry (cm)"/>
    <tableColumn id="15" name="(d1)" dataDxfId="37"/>
    <tableColumn id="16" name="w1" dataDxfId="36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D18:S27" totalsRowShown="0">
  <autoFilter ref="D18:S27"/>
  <tableColumns count="16">
    <tableColumn id="1" name="UNP nom," dataDxfId="35"/>
    <tableColumn id="2" name="h  (m.m)"/>
    <tableColumn id="3" name="b (m.m)"/>
    <tableColumn id="4" name="s (m.m)"/>
    <tableColumn id="5" name="t=r1 (m.m)"/>
    <tableColumn id="6" name="r2 (m.m)"/>
    <tableColumn id="7" name="c (k) (m.m)"/>
    <tableColumn id="8" name="A(cm2)"/>
    <tableColumn id="9" name="Ix (cm4)"/>
    <tableColumn id="10" name="Sx (cm3)"/>
    <tableColumn id="11" name="rx (cm)"/>
    <tableColumn id="12" name="Iy (cm4)"/>
    <tableColumn id="13" name="Sy (cm3)"/>
    <tableColumn id="14" name="ry (cm)"/>
    <tableColumn id="15" name="(d1)"/>
    <tableColumn id="16" name="w1"/>
  </tableColumns>
  <tableStyleInfo name="TableStyleMedium1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D31:S35" totalsRowShown="0">
  <autoFilter ref="D31:S35">
    <filterColumn colId="7"/>
    <filterColumn colId="9"/>
    <filterColumn colId="11"/>
    <filterColumn colId="12"/>
  </autoFilter>
  <tableColumns count="16">
    <tableColumn id="1" name="L  nom," dataDxfId="34"/>
    <tableColumn id="2" name="t (m.m)"/>
    <tableColumn id="3" name="r1 (m.m)"/>
    <tableColumn id="4" name="A (cm2)"/>
    <tableColumn id="5" name="e (m.m)"/>
    <tableColumn id="6" name="Ix=Iy (cm4)"/>
    <tableColumn id="7" name="Sx=Sy (cm3)"/>
    <tableColumn id="13" name="Column1"/>
    <tableColumn id="8" name="rx=ry (cm)"/>
    <tableColumn id="14" name="Column2"/>
    <tableColumn id="9" name="rξ (cm)"/>
    <tableColumn id="15" name="Column3"/>
    <tableColumn id="16" name="Column4"/>
    <tableColumn id="10" name="rη (cm)"/>
    <tableColumn id="11" name="d1"/>
    <tableColumn id="12" name="w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e5" displayName="Table5" ref="D39:U55" totalsRowShown="0">
  <autoFilter ref="D39:U55">
    <filterColumn colId="14"/>
    <filterColumn colId="15"/>
    <filterColumn colId="16"/>
    <filterColumn colId="17"/>
  </autoFilter>
  <tableColumns count="18">
    <tableColumn id="1" name="user"/>
    <tableColumn id="2" name="h  (m.m)"/>
    <tableColumn id="3" name="b (m.m)"/>
    <tableColumn id="4" name="s (m.m)"/>
    <tableColumn id="5" name="t (m.m)"/>
    <tableColumn id="6" name="r (m.m)"/>
    <tableColumn id="7" name="c (k) (m.m)"/>
    <tableColumn id="8" name="A(cm2)"/>
    <tableColumn id="9" name="Ix (cm4)"/>
    <tableColumn id="10" name="Sx (cm3)"/>
    <tableColumn id="11" name="rx (cm)"/>
    <tableColumn id="12" name="Iy (cm4)"/>
    <tableColumn id="13" name="Sy (cm3)"/>
    <tableColumn id="14" name="ry (cm)"/>
    <tableColumn id="15" name="ZX(cm)3"/>
    <tableColumn id="16" name="ZY (cm)3"/>
    <tableColumn id="17" name="Aw (cm)2"/>
    <tableColumn id="18" name="Af (cm)2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5:U55"/>
  <sheetViews>
    <sheetView topLeftCell="A22" workbookViewId="0">
      <selection activeCell="F61" sqref="F61"/>
    </sheetView>
  </sheetViews>
  <sheetFormatPr defaultColWidth="9.140625" defaultRowHeight="15"/>
  <cols>
    <col min="1" max="2" width="9.140625" style="9"/>
    <col min="3" max="3" width="8.7109375" style="9" customWidth="1"/>
    <col min="4" max="4" width="20.140625" style="9" customWidth="1"/>
    <col min="5" max="7" width="11" style="9" customWidth="1"/>
    <col min="8" max="8" width="12.42578125" style="9" customWidth="1"/>
    <col min="9" max="9" width="12.7109375" style="9" customWidth="1"/>
    <col min="10" max="10" width="13.5703125" style="9" customWidth="1"/>
    <col min="11" max="11" width="12" style="9" customWidth="1"/>
    <col min="12" max="12" width="11" style="9" customWidth="1"/>
    <col min="13" max="17" width="12" style="9" customWidth="1"/>
    <col min="18" max="18" width="10.42578125" style="9" customWidth="1"/>
    <col min="19" max="19" width="11.28515625" style="9" customWidth="1"/>
    <col min="20" max="16384" width="9.140625" style="9"/>
  </cols>
  <sheetData>
    <row r="5" spans="4:19">
      <c r="D5" s="9" t="s">
        <v>0</v>
      </c>
      <c r="E5" s="9" t="s">
        <v>1</v>
      </c>
      <c r="F5" s="9" t="s">
        <v>2</v>
      </c>
      <c r="G5" s="9" t="s">
        <v>3</v>
      </c>
      <c r="H5" s="9" t="s">
        <v>4</v>
      </c>
      <c r="I5" s="9" t="s">
        <v>5</v>
      </c>
      <c r="J5" s="9" t="s">
        <v>6</v>
      </c>
      <c r="K5" s="9" t="s">
        <v>7</v>
      </c>
      <c r="L5" s="9" t="s">
        <v>8</v>
      </c>
      <c r="M5" s="9" t="s">
        <v>9</v>
      </c>
      <c r="N5" s="9" t="s">
        <v>10</v>
      </c>
      <c r="O5" s="9" t="s">
        <v>11</v>
      </c>
      <c r="P5" s="9" t="s">
        <v>12</v>
      </c>
      <c r="Q5" s="9" t="s">
        <v>13</v>
      </c>
      <c r="R5" s="9" t="s">
        <v>14</v>
      </c>
      <c r="S5" s="2" t="s">
        <v>15</v>
      </c>
    </row>
    <row r="6" spans="4:19">
      <c r="D6" s="35">
        <v>120</v>
      </c>
      <c r="E6" s="3">
        <v>120</v>
      </c>
      <c r="F6" s="9">
        <v>64</v>
      </c>
      <c r="G6" s="9">
        <v>4.4000000000000004</v>
      </c>
      <c r="H6" s="9">
        <v>6.3</v>
      </c>
      <c r="I6" s="9">
        <v>7</v>
      </c>
      <c r="J6" s="9">
        <v>13.3</v>
      </c>
      <c r="K6" s="9">
        <v>13.2</v>
      </c>
      <c r="L6" s="9">
        <v>318</v>
      </c>
      <c r="M6" s="9">
        <v>53</v>
      </c>
      <c r="N6" s="9">
        <v>4.9000000000000004</v>
      </c>
      <c r="O6" s="9">
        <v>27.7</v>
      </c>
      <c r="P6" s="9">
        <v>8.65</v>
      </c>
      <c r="Q6" s="9">
        <v>1.45</v>
      </c>
      <c r="R6" s="35">
        <v>8.4</v>
      </c>
      <c r="S6" s="2">
        <v>36</v>
      </c>
    </row>
    <row r="7" spans="4:19">
      <c r="D7" s="6">
        <v>140</v>
      </c>
      <c r="E7" s="5">
        <v>140</v>
      </c>
      <c r="F7" s="4">
        <v>73</v>
      </c>
      <c r="G7" s="4">
        <v>4.7</v>
      </c>
      <c r="H7" s="4">
        <v>6.9</v>
      </c>
      <c r="I7" s="4">
        <v>7</v>
      </c>
      <c r="J7" s="4">
        <v>13.9</v>
      </c>
      <c r="K7" s="4">
        <v>16.399999999999999</v>
      </c>
      <c r="L7" s="4">
        <v>541</v>
      </c>
      <c r="M7" s="4">
        <v>77.3</v>
      </c>
      <c r="N7" s="4">
        <v>5.74</v>
      </c>
      <c r="O7" s="4">
        <v>44.9</v>
      </c>
      <c r="P7" s="4">
        <v>12.3</v>
      </c>
      <c r="Q7" s="4">
        <v>1.65</v>
      </c>
      <c r="R7" s="6">
        <v>11</v>
      </c>
      <c r="S7" s="2">
        <v>40</v>
      </c>
    </row>
    <row r="8" spans="4:19">
      <c r="D8" s="6">
        <v>160</v>
      </c>
      <c r="E8" s="5">
        <v>160</v>
      </c>
      <c r="F8" s="4">
        <v>82</v>
      </c>
      <c r="G8" s="4">
        <v>5</v>
      </c>
      <c r="H8" s="4">
        <v>7.4</v>
      </c>
      <c r="I8" s="4">
        <v>9</v>
      </c>
      <c r="J8" s="4">
        <v>16.399999999999999</v>
      </c>
      <c r="K8" s="4">
        <v>20.100000000000001</v>
      </c>
      <c r="L8" s="4">
        <v>869</v>
      </c>
      <c r="M8" s="4">
        <v>109</v>
      </c>
      <c r="N8" s="4">
        <v>6.58</v>
      </c>
      <c r="O8" s="4">
        <v>68.3</v>
      </c>
      <c r="P8" s="4">
        <v>16.7</v>
      </c>
      <c r="Q8" s="4">
        <v>1.84</v>
      </c>
      <c r="R8" s="6">
        <v>13</v>
      </c>
      <c r="S8" s="7">
        <v>44</v>
      </c>
    </row>
    <row r="9" spans="4:19">
      <c r="D9" s="6">
        <v>180</v>
      </c>
      <c r="E9" s="5">
        <v>180</v>
      </c>
      <c r="F9" s="4">
        <v>91</v>
      </c>
      <c r="G9" s="4">
        <v>5.3</v>
      </c>
      <c r="H9" s="4">
        <v>8</v>
      </c>
      <c r="I9" s="4">
        <v>9</v>
      </c>
      <c r="J9" s="4">
        <v>17</v>
      </c>
      <c r="K9" s="4">
        <v>23.9</v>
      </c>
      <c r="L9" s="4">
        <v>1320</v>
      </c>
      <c r="M9" s="4">
        <v>146</v>
      </c>
      <c r="N9" s="4">
        <v>7.42</v>
      </c>
      <c r="O9" s="4">
        <v>101</v>
      </c>
      <c r="P9" s="4">
        <v>22.2</v>
      </c>
      <c r="Q9" s="4">
        <v>2.0499999999999998</v>
      </c>
      <c r="R9" s="6">
        <v>13</v>
      </c>
      <c r="S9" s="7">
        <v>50</v>
      </c>
    </row>
    <row r="10" spans="4:19">
      <c r="D10" s="6">
        <v>200</v>
      </c>
      <c r="E10" s="5">
        <v>200</v>
      </c>
      <c r="F10" s="4">
        <v>100</v>
      </c>
      <c r="G10" s="4">
        <v>5.6</v>
      </c>
      <c r="H10" s="4">
        <v>8.5</v>
      </c>
      <c r="I10" s="4">
        <v>12</v>
      </c>
      <c r="J10" s="8" t="s">
        <v>16</v>
      </c>
      <c r="K10" s="4">
        <v>28.5</v>
      </c>
      <c r="L10" s="4">
        <v>1940</v>
      </c>
      <c r="M10" s="4">
        <v>164</v>
      </c>
      <c r="N10" s="4">
        <v>8.26</v>
      </c>
      <c r="O10" s="4">
        <v>142</v>
      </c>
      <c r="P10" s="4">
        <v>28.5</v>
      </c>
      <c r="Q10" s="4">
        <v>2.2400000000000002</v>
      </c>
      <c r="R10" s="6">
        <v>13</v>
      </c>
      <c r="S10" s="7">
        <v>56</v>
      </c>
    </row>
    <row r="11" spans="4:19">
      <c r="D11" s="6">
        <v>220</v>
      </c>
      <c r="E11" s="5">
        <v>220</v>
      </c>
      <c r="F11" s="4">
        <v>110</v>
      </c>
      <c r="G11" s="4">
        <v>5.9</v>
      </c>
      <c r="H11" s="4">
        <v>9.1999999999999993</v>
      </c>
      <c r="I11" s="4">
        <v>12</v>
      </c>
      <c r="J11" s="4">
        <v>21.2</v>
      </c>
      <c r="K11" s="4">
        <v>33.4</v>
      </c>
      <c r="L11" s="4">
        <v>2770</v>
      </c>
      <c r="M11" s="4">
        <v>252</v>
      </c>
      <c r="N11" s="4">
        <v>9.11</v>
      </c>
      <c r="O11" s="4">
        <v>205</v>
      </c>
      <c r="P11" s="4">
        <v>37.299999999999997</v>
      </c>
      <c r="Q11" s="4">
        <v>2.48</v>
      </c>
      <c r="R11" s="6">
        <v>17</v>
      </c>
      <c r="S11" s="7">
        <v>60</v>
      </c>
    </row>
    <row r="12" spans="4:19">
      <c r="D12" s="6">
        <v>240</v>
      </c>
      <c r="E12" s="5">
        <v>240</v>
      </c>
      <c r="F12" s="4">
        <v>120</v>
      </c>
      <c r="G12" s="4">
        <v>6.2</v>
      </c>
      <c r="H12" s="4">
        <v>9.8000000000000007</v>
      </c>
      <c r="I12" s="4">
        <v>15</v>
      </c>
      <c r="J12" s="4">
        <v>24.8</v>
      </c>
      <c r="K12" s="4">
        <v>39.1</v>
      </c>
      <c r="L12" s="4">
        <v>3890</v>
      </c>
      <c r="M12" s="4">
        <v>324</v>
      </c>
      <c r="N12" s="4">
        <v>9.9700000000000006</v>
      </c>
      <c r="O12" s="4">
        <v>284</v>
      </c>
      <c r="P12" s="4">
        <v>47.3</v>
      </c>
      <c r="Q12" s="4">
        <v>2.69</v>
      </c>
      <c r="R12" s="6">
        <v>17</v>
      </c>
      <c r="S12" s="7">
        <v>68</v>
      </c>
    </row>
    <row r="13" spans="4:19">
      <c r="D13" s="6">
        <v>270</v>
      </c>
      <c r="E13" s="5">
        <v>270</v>
      </c>
      <c r="F13" s="4">
        <v>135</v>
      </c>
      <c r="G13" s="4">
        <v>6.6</v>
      </c>
      <c r="H13" s="4">
        <v>10.199999999999999</v>
      </c>
      <c r="I13" s="4">
        <v>15</v>
      </c>
      <c r="J13" s="4">
        <v>25.2</v>
      </c>
      <c r="K13" s="4">
        <v>45.9</v>
      </c>
      <c r="L13" s="4">
        <v>5790</v>
      </c>
      <c r="M13" s="4">
        <v>429</v>
      </c>
      <c r="N13" s="4">
        <v>11.2</v>
      </c>
      <c r="O13" s="4">
        <v>420</v>
      </c>
      <c r="P13" s="4">
        <v>62.2</v>
      </c>
      <c r="Q13" s="4">
        <v>3.02</v>
      </c>
      <c r="R13" s="6">
        <v>17</v>
      </c>
      <c r="S13" s="7">
        <v>72</v>
      </c>
    </row>
    <row r="14" spans="4:19">
      <c r="D14" s="6">
        <v>300</v>
      </c>
      <c r="E14" s="5">
        <v>300</v>
      </c>
      <c r="F14" s="4">
        <v>150</v>
      </c>
      <c r="G14" s="4">
        <v>7.1</v>
      </c>
      <c r="H14" s="4">
        <v>10.7</v>
      </c>
      <c r="I14" s="4">
        <v>15</v>
      </c>
      <c r="J14" s="4">
        <v>25.7</v>
      </c>
      <c r="K14" s="4">
        <v>53.8</v>
      </c>
      <c r="L14" s="4">
        <v>8360</v>
      </c>
      <c r="M14" s="4">
        <v>557</v>
      </c>
      <c r="N14" s="4">
        <v>12.5</v>
      </c>
      <c r="O14" s="4">
        <v>604</v>
      </c>
      <c r="P14" s="4">
        <v>80.5</v>
      </c>
      <c r="Q14" s="4">
        <v>3.35</v>
      </c>
      <c r="R14" s="6">
        <v>23</v>
      </c>
      <c r="S14" s="7">
        <v>80</v>
      </c>
    </row>
    <row r="18" spans="4:19">
      <c r="D18" s="9" t="s">
        <v>17</v>
      </c>
      <c r="E18" s="9" t="s">
        <v>1</v>
      </c>
      <c r="F18" s="9" t="s">
        <v>2</v>
      </c>
      <c r="G18" s="9" t="s">
        <v>3</v>
      </c>
      <c r="H18" s="9" t="s">
        <v>18</v>
      </c>
      <c r="I18" s="9" t="s">
        <v>19</v>
      </c>
      <c r="J18" s="9" t="s">
        <v>6</v>
      </c>
      <c r="K18" s="9" t="s">
        <v>7</v>
      </c>
      <c r="L18" s="9" t="s">
        <v>8</v>
      </c>
      <c r="M18" s="9" t="s">
        <v>9</v>
      </c>
      <c r="N18" s="9" t="s">
        <v>10</v>
      </c>
      <c r="O18" s="9" t="s">
        <v>11</v>
      </c>
      <c r="P18" s="9" t="s">
        <v>12</v>
      </c>
      <c r="Q18" s="9" t="s">
        <v>13</v>
      </c>
      <c r="R18" s="9" t="s">
        <v>14</v>
      </c>
      <c r="S18" s="9" t="s">
        <v>15</v>
      </c>
    </row>
    <row r="19" spans="4:19">
      <c r="D19" s="35">
        <v>80</v>
      </c>
      <c r="E19" s="9">
        <v>80</v>
      </c>
      <c r="F19" s="9">
        <v>45</v>
      </c>
      <c r="G19" s="9">
        <v>6</v>
      </c>
      <c r="H19" s="9">
        <v>8</v>
      </c>
      <c r="I19" s="9">
        <v>4</v>
      </c>
      <c r="J19" s="9">
        <v>17</v>
      </c>
      <c r="K19" s="9">
        <v>11</v>
      </c>
      <c r="L19" s="9">
        <v>106</v>
      </c>
      <c r="M19" s="9">
        <v>26.5</v>
      </c>
      <c r="N19" s="9">
        <v>3.1</v>
      </c>
      <c r="O19" s="9">
        <v>19.399999999999999</v>
      </c>
      <c r="P19" s="9">
        <v>6.38</v>
      </c>
      <c r="Q19" s="9">
        <v>1.33</v>
      </c>
      <c r="R19" s="9">
        <v>13</v>
      </c>
      <c r="S19" s="9">
        <v>25</v>
      </c>
    </row>
    <row r="20" spans="4:19">
      <c r="D20" s="6">
        <v>100</v>
      </c>
      <c r="E20" s="4">
        <v>100</v>
      </c>
      <c r="F20" s="4">
        <v>50</v>
      </c>
      <c r="G20" s="4">
        <v>6</v>
      </c>
      <c r="H20" s="4">
        <v>8.5</v>
      </c>
      <c r="I20" s="4">
        <v>4.5</v>
      </c>
      <c r="J20" s="4">
        <v>18</v>
      </c>
      <c r="K20" s="4">
        <v>13.5</v>
      </c>
      <c r="L20" s="4">
        <v>206</v>
      </c>
      <c r="M20" s="4">
        <v>41.2</v>
      </c>
      <c r="N20" s="4">
        <v>3.91</v>
      </c>
      <c r="O20" s="4">
        <v>29.3</v>
      </c>
      <c r="P20" s="4">
        <v>8.49</v>
      </c>
      <c r="Q20" s="4">
        <v>1.47</v>
      </c>
      <c r="R20" s="4">
        <v>13</v>
      </c>
      <c r="S20" s="4">
        <v>30</v>
      </c>
    </row>
    <row r="21" spans="4:19">
      <c r="D21" s="6">
        <v>120</v>
      </c>
      <c r="E21" s="4">
        <v>120</v>
      </c>
      <c r="F21" s="4">
        <v>55</v>
      </c>
      <c r="G21" s="4">
        <v>7</v>
      </c>
      <c r="H21" s="4">
        <v>9</v>
      </c>
      <c r="I21" s="4">
        <v>4.5</v>
      </c>
      <c r="J21" s="4">
        <v>19</v>
      </c>
      <c r="K21" s="4">
        <v>17</v>
      </c>
      <c r="L21" s="4">
        <v>364</v>
      </c>
      <c r="M21" s="4">
        <v>60.7</v>
      </c>
      <c r="N21" s="4">
        <v>4.62</v>
      </c>
      <c r="O21" s="4">
        <v>43.2</v>
      </c>
      <c r="P21" s="4">
        <v>11.1</v>
      </c>
      <c r="Q21" s="4">
        <v>1.59</v>
      </c>
      <c r="R21" s="4">
        <v>13</v>
      </c>
      <c r="S21" s="4">
        <v>30</v>
      </c>
    </row>
    <row r="22" spans="4:19">
      <c r="D22" s="6">
        <v>140</v>
      </c>
      <c r="E22" s="4">
        <v>140</v>
      </c>
      <c r="F22" s="4">
        <v>60</v>
      </c>
      <c r="G22" s="4">
        <v>7</v>
      </c>
      <c r="H22" s="4">
        <v>10</v>
      </c>
      <c r="I22" s="4">
        <v>5</v>
      </c>
      <c r="J22" s="4">
        <v>21</v>
      </c>
      <c r="K22" s="4">
        <v>20.399999999999999</v>
      </c>
      <c r="L22" s="4">
        <v>605</v>
      </c>
      <c r="M22" s="4">
        <v>86.4</v>
      </c>
      <c r="N22" s="4">
        <v>5.45</v>
      </c>
      <c r="O22" s="4">
        <v>62.7</v>
      </c>
      <c r="P22" s="4">
        <v>14.8</v>
      </c>
      <c r="Q22" s="4">
        <v>1.75</v>
      </c>
      <c r="R22" s="4">
        <v>17</v>
      </c>
      <c r="S22" s="4">
        <v>35</v>
      </c>
    </row>
    <row r="23" spans="4:19">
      <c r="D23" s="6">
        <v>160</v>
      </c>
      <c r="E23" s="4">
        <v>160</v>
      </c>
      <c r="F23" s="4">
        <v>65</v>
      </c>
      <c r="G23" s="4">
        <v>7.5</v>
      </c>
      <c r="H23" s="4">
        <v>10.5</v>
      </c>
      <c r="I23" s="4">
        <v>5.5</v>
      </c>
      <c r="J23" s="4">
        <v>22.5</v>
      </c>
      <c r="K23" s="4">
        <v>24</v>
      </c>
      <c r="L23" s="4">
        <v>925</v>
      </c>
      <c r="M23" s="4">
        <v>116</v>
      </c>
      <c r="N23" s="4">
        <v>6.21</v>
      </c>
      <c r="O23" s="4">
        <v>85.3</v>
      </c>
      <c r="P23" s="4">
        <v>18.3</v>
      </c>
      <c r="Q23" s="4">
        <v>1.89</v>
      </c>
      <c r="R23" s="4">
        <v>17</v>
      </c>
      <c r="S23" s="4">
        <v>35</v>
      </c>
    </row>
    <row r="24" spans="4:19">
      <c r="D24" s="6">
        <v>180</v>
      </c>
      <c r="E24" s="4">
        <v>180</v>
      </c>
      <c r="F24" s="4">
        <v>70</v>
      </c>
      <c r="G24" s="4">
        <v>8</v>
      </c>
      <c r="H24" s="4">
        <v>11</v>
      </c>
      <c r="I24" s="4">
        <v>5.5</v>
      </c>
      <c r="J24" s="4">
        <v>23.5</v>
      </c>
      <c r="K24" s="4">
        <v>28</v>
      </c>
      <c r="L24" s="4">
        <v>1350</v>
      </c>
      <c r="M24" s="4">
        <v>150</v>
      </c>
      <c r="N24" s="4">
        <v>6.95</v>
      </c>
      <c r="O24" s="4">
        <v>114</v>
      </c>
      <c r="P24" s="4">
        <v>22.4</v>
      </c>
      <c r="Q24" s="4">
        <v>2.02</v>
      </c>
      <c r="R24" s="4">
        <v>21</v>
      </c>
      <c r="S24" s="4">
        <v>40</v>
      </c>
    </row>
    <row r="25" spans="4:19">
      <c r="D25" s="6">
        <v>200</v>
      </c>
      <c r="E25" s="4">
        <v>200</v>
      </c>
      <c r="F25" s="4">
        <v>75</v>
      </c>
      <c r="G25" s="4">
        <v>8.5</v>
      </c>
      <c r="H25" s="4">
        <v>11.5</v>
      </c>
      <c r="I25" s="4">
        <v>6</v>
      </c>
      <c r="J25" s="4">
        <v>24.5</v>
      </c>
      <c r="K25" s="4">
        <v>32.200000000000003</v>
      </c>
      <c r="L25" s="4">
        <v>1910</v>
      </c>
      <c r="M25" s="4">
        <v>191</v>
      </c>
      <c r="N25" s="4">
        <v>7.7</v>
      </c>
      <c r="O25" s="4">
        <v>148</v>
      </c>
      <c r="P25" s="4">
        <v>27</v>
      </c>
      <c r="Q25" s="4">
        <v>2.14</v>
      </c>
      <c r="R25" s="4">
        <v>21</v>
      </c>
      <c r="S25" s="4">
        <v>40</v>
      </c>
    </row>
    <row r="26" spans="4:19">
      <c r="D26" s="6">
        <v>220</v>
      </c>
      <c r="E26" s="4">
        <v>220</v>
      </c>
      <c r="F26" s="4">
        <v>80</v>
      </c>
      <c r="G26" s="4">
        <v>9</v>
      </c>
      <c r="H26" s="4">
        <v>12.5</v>
      </c>
      <c r="I26" s="4">
        <v>6.5</v>
      </c>
      <c r="J26" s="4">
        <v>26.5</v>
      </c>
      <c r="K26" s="4">
        <v>37.4</v>
      </c>
      <c r="L26" s="4">
        <v>2690</v>
      </c>
      <c r="M26" s="4">
        <v>245</v>
      </c>
      <c r="N26" s="4">
        <v>8.48</v>
      </c>
      <c r="O26" s="4">
        <v>197</v>
      </c>
      <c r="P26" s="4">
        <v>33.6</v>
      </c>
      <c r="Q26" s="4">
        <v>2.2999999999999998</v>
      </c>
      <c r="R26" s="4">
        <v>23</v>
      </c>
      <c r="S26" s="4">
        <v>45</v>
      </c>
    </row>
    <row r="27" spans="4:19">
      <c r="D27" s="6">
        <v>240</v>
      </c>
      <c r="E27" s="4">
        <v>240</v>
      </c>
      <c r="F27" s="4">
        <v>85</v>
      </c>
      <c r="G27" s="4">
        <v>9.5</v>
      </c>
      <c r="H27" s="4">
        <v>13</v>
      </c>
      <c r="I27" s="4">
        <v>6.5</v>
      </c>
      <c r="J27" s="4">
        <v>28</v>
      </c>
      <c r="K27" s="4">
        <v>42.3</v>
      </c>
      <c r="L27" s="4">
        <v>3600</v>
      </c>
      <c r="M27" s="4">
        <v>300</v>
      </c>
      <c r="N27" s="4">
        <v>9.2200000000000006</v>
      </c>
      <c r="O27" s="4">
        <v>248</v>
      </c>
      <c r="P27" s="4">
        <v>39.6</v>
      </c>
      <c r="Q27" s="4">
        <v>2.42</v>
      </c>
      <c r="R27" s="4">
        <v>23</v>
      </c>
      <c r="S27" s="4">
        <v>45</v>
      </c>
    </row>
    <row r="31" spans="4:19" ht="27.75" customHeight="1">
      <c r="D31" s="9" t="s">
        <v>20</v>
      </c>
      <c r="E31" s="9" t="s">
        <v>4</v>
      </c>
      <c r="F31" s="9" t="s">
        <v>21</v>
      </c>
      <c r="G31" s="9" t="s">
        <v>22</v>
      </c>
      <c r="H31" s="9" t="s">
        <v>23</v>
      </c>
      <c r="I31" s="9" t="s">
        <v>24</v>
      </c>
      <c r="J31" s="9" t="s">
        <v>25</v>
      </c>
      <c r="K31" s="9" t="s">
        <v>83</v>
      </c>
      <c r="L31" s="9" t="s">
        <v>26</v>
      </c>
      <c r="M31" s="9" t="s">
        <v>84</v>
      </c>
      <c r="N31" s="9" t="s">
        <v>27</v>
      </c>
      <c r="O31" s="9" t="s">
        <v>85</v>
      </c>
      <c r="P31" s="9" t="s">
        <v>86</v>
      </c>
      <c r="Q31" s="9" t="s">
        <v>28</v>
      </c>
      <c r="R31" s="9" t="s">
        <v>29</v>
      </c>
      <c r="S31" s="9" t="s">
        <v>15</v>
      </c>
    </row>
    <row r="32" spans="4:19" ht="28.5" customHeight="1">
      <c r="D32" s="35" t="s">
        <v>30</v>
      </c>
      <c r="E32" s="9">
        <v>6</v>
      </c>
      <c r="F32" s="9">
        <v>8</v>
      </c>
      <c r="G32" s="9">
        <v>6.91</v>
      </c>
      <c r="H32" s="9">
        <v>1.69</v>
      </c>
      <c r="I32" s="9">
        <v>22.8</v>
      </c>
      <c r="J32" s="9">
        <v>5.29</v>
      </c>
      <c r="L32" s="9">
        <v>1.82</v>
      </c>
      <c r="N32" s="9">
        <v>2.29</v>
      </c>
      <c r="Q32" s="9">
        <v>1.17</v>
      </c>
      <c r="R32" s="9">
        <v>17</v>
      </c>
      <c r="S32" s="9">
        <v>35</v>
      </c>
    </row>
    <row r="33" spans="4:21" ht="28.5" customHeight="1">
      <c r="D33" s="6" t="s">
        <v>31</v>
      </c>
      <c r="E33" s="4">
        <v>8</v>
      </c>
      <c r="F33" s="4">
        <v>10</v>
      </c>
      <c r="G33" s="4">
        <v>12.3</v>
      </c>
      <c r="H33" s="4">
        <v>2.2599999999999998</v>
      </c>
      <c r="I33" s="4">
        <v>72.3</v>
      </c>
      <c r="J33" s="4">
        <v>12.6</v>
      </c>
      <c r="K33" s="4"/>
      <c r="L33" s="4">
        <v>2.42</v>
      </c>
      <c r="M33" s="4"/>
      <c r="N33" s="4">
        <v>3.06</v>
      </c>
      <c r="O33" s="4"/>
      <c r="P33" s="4"/>
      <c r="Q33" s="4">
        <v>1.55</v>
      </c>
      <c r="R33" s="4">
        <v>23</v>
      </c>
      <c r="S33" s="4">
        <v>45</v>
      </c>
    </row>
    <row r="34" spans="4:21" ht="30.75" customHeight="1">
      <c r="D34" s="6" t="s">
        <v>32</v>
      </c>
      <c r="E34" s="4">
        <v>10</v>
      </c>
      <c r="F34" s="4">
        <v>12</v>
      </c>
      <c r="G34" s="4">
        <v>19.2</v>
      </c>
      <c r="H34" s="4">
        <v>2.82</v>
      </c>
      <c r="I34" s="4">
        <v>177</v>
      </c>
      <c r="J34" s="4">
        <v>24.7</v>
      </c>
      <c r="K34" s="4"/>
      <c r="L34" s="4">
        <v>3.04</v>
      </c>
      <c r="M34" s="4"/>
      <c r="N34" s="4">
        <v>3.82</v>
      </c>
      <c r="O34" s="4"/>
      <c r="P34" s="4"/>
      <c r="Q34" s="4">
        <v>1.95</v>
      </c>
      <c r="R34" s="4">
        <v>25</v>
      </c>
      <c r="S34" s="4">
        <v>55</v>
      </c>
    </row>
    <row r="35" spans="4:21" ht="25.5" customHeight="1">
      <c r="D35" s="6" t="s">
        <v>33</v>
      </c>
      <c r="E35" s="4">
        <v>12</v>
      </c>
      <c r="F35" s="4">
        <v>13</v>
      </c>
      <c r="G35" s="4">
        <v>27.5</v>
      </c>
      <c r="H35" s="4">
        <v>3.4</v>
      </c>
      <c r="I35" s="4">
        <v>368</v>
      </c>
      <c r="J35" s="4">
        <v>42.7</v>
      </c>
      <c r="K35" s="4"/>
      <c r="L35" s="4">
        <v>3.65</v>
      </c>
      <c r="M35" s="4"/>
      <c r="N35" s="4">
        <v>4.5999999999999996</v>
      </c>
      <c r="O35" s="4"/>
      <c r="P35" s="4"/>
      <c r="Q35" s="4">
        <v>2.35</v>
      </c>
      <c r="R35" s="4">
        <v>25</v>
      </c>
      <c r="S35" s="4">
        <v>50</v>
      </c>
    </row>
    <row r="36" spans="4:21" ht="20.25" customHeight="1"/>
    <row r="39" spans="4:21">
      <c r="D39" s="9" t="s">
        <v>34</v>
      </c>
      <c r="E39" s="9" t="s">
        <v>1</v>
      </c>
      <c r="F39" s="9" t="s">
        <v>2</v>
      </c>
      <c r="G39" s="9" t="s">
        <v>3</v>
      </c>
      <c r="H39" s="9" t="s">
        <v>4</v>
      </c>
      <c r="I39" s="9" t="s">
        <v>5</v>
      </c>
      <c r="J39" s="9" t="s">
        <v>6</v>
      </c>
      <c r="K39" s="9" t="s">
        <v>7</v>
      </c>
      <c r="L39" s="9" t="s">
        <v>8</v>
      </c>
      <c r="M39" s="9" t="s">
        <v>9</v>
      </c>
      <c r="N39" s="9" t="s">
        <v>10</v>
      </c>
      <c r="O39" s="9" t="s">
        <v>11</v>
      </c>
      <c r="P39" s="9" t="s">
        <v>12</v>
      </c>
      <c r="Q39" s="9" t="s">
        <v>13</v>
      </c>
      <c r="R39" s="9" t="s">
        <v>100</v>
      </c>
      <c r="S39" s="9" t="s">
        <v>99</v>
      </c>
      <c r="T39" s="9" t="s">
        <v>114</v>
      </c>
      <c r="U39" s="9" t="s">
        <v>115</v>
      </c>
    </row>
    <row r="40" spans="4:21">
      <c r="D40" s="9" t="s">
        <v>69</v>
      </c>
      <c r="E40" s="9">
        <v>300</v>
      </c>
      <c r="F40" s="9">
        <v>400</v>
      </c>
      <c r="G40" s="9">
        <v>0</v>
      </c>
      <c r="H40" s="9">
        <v>0</v>
      </c>
      <c r="K40" s="9">
        <v>387.6</v>
      </c>
      <c r="L40" s="9">
        <v>66733</v>
      </c>
      <c r="M40" s="9">
        <v>3925</v>
      </c>
      <c r="N40" s="9">
        <v>13.12</v>
      </c>
      <c r="O40" s="1">
        <v>92314</v>
      </c>
      <c r="P40" s="9">
        <v>4196</v>
      </c>
      <c r="Q40" s="9">
        <v>15.43</v>
      </c>
    </row>
    <row r="41" spans="4:21">
      <c r="D41" s="9" t="s">
        <v>68</v>
      </c>
      <c r="E41" s="9">
        <v>300</v>
      </c>
      <c r="F41" s="9">
        <v>400</v>
      </c>
      <c r="K41" s="9">
        <v>247.6</v>
      </c>
      <c r="L41" s="9">
        <v>40447</v>
      </c>
      <c r="M41" s="9">
        <v>2528</v>
      </c>
      <c r="N41" s="9">
        <v>12.78</v>
      </c>
      <c r="O41" s="9">
        <v>53907</v>
      </c>
      <c r="P41" s="9">
        <v>2567</v>
      </c>
      <c r="Q41" s="9">
        <v>14.76</v>
      </c>
    </row>
    <row r="42" spans="4:21">
      <c r="D42" s="9" t="s">
        <v>70</v>
      </c>
      <c r="K42" s="9">
        <v>107.6</v>
      </c>
      <c r="L42" s="9">
        <v>16720</v>
      </c>
      <c r="M42" s="9">
        <v>1115</v>
      </c>
      <c r="N42" s="9">
        <v>12.47</v>
      </c>
      <c r="O42" s="9">
        <v>18020</v>
      </c>
      <c r="P42" s="9">
        <v>901</v>
      </c>
      <c r="Q42" s="9">
        <v>12.94</v>
      </c>
    </row>
    <row r="43" spans="4:21">
      <c r="D43" s="4" t="s">
        <v>71</v>
      </c>
      <c r="E43" s="4">
        <v>400</v>
      </c>
      <c r="F43" s="4">
        <v>400</v>
      </c>
      <c r="G43" s="4"/>
      <c r="H43" s="4"/>
      <c r="I43" s="4"/>
      <c r="J43" s="4"/>
      <c r="K43" s="4">
        <v>270.16000000000003</v>
      </c>
      <c r="L43" s="4">
        <v>76120</v>
      </c>
      <c r="M43" s="4">
        <v>3625</v>
      </c>
      <c r="N43" s="4">
        <v>16.79</v>
      </c>
      <c r="O43" s="4">
        <v>76120</v>
      </c>
      <c r="P43" s="4">
        <v>3625</v>
      </c>
      <c r="Q43" s="4">
        <v>16.79</v>
      </c>
      <c r="R43" s="9">
        <v>4269</v>
      </c>
      <c r="S43" s="9">
        <v>4269</v>
      </c>
      <c r="T43" s="9">
        <v>135.08000000000001</v>
      </c>
      <c r="U43" s="9">
        <v>135.08000000000001</v>
      </c>
    </row>
    <row r="44" spans="4:21">
      <c r="D44" s="4" t="s">
        <v>72</v>
      </c>
      <c r="E44" s="9">
        <v>400</v>
      </c>
      <c r="F44" s="9">
        <v>400</v>
      </c>
      <c r="K44" s="9">
        <v>350.16</v>
      </c>
      <c r="L44" s="9">
        <v>99516</v>
      </c>
      <c r="M44" s="9">
        <v>4629</v>
      </c>
      <c r="N44" s="9">
        <v>16.86</v>
      </c>
      <c r="O44" s="9">
        <v>99516</v>
      </c>
      <c r="P44" s="9">
        <v>4629</v>
      </c>
      <c r="Q44" s="9">
        <v>16.86</v>
      </c>
      <c r="R44" s="9">
        <v>5519</v>
      </c>
      <c r="S44" s="9">
        <v>5519</v>
      </c>
      <c r="T44" s="9">
        <v>175.08</v>
      </c>
      <c r="U44" s="9">
        <v>175.08</v>
      </c>
    </row>
    <row r="45" spans="4:21">
      <c r="D45" s="4" t="s">
        <v>73</v>
      </c>
      <c r="E45" s="4">
        <v>350</v>
      </c>
      <c r="F45" s="4">
        <v>350</v>
      </c>
      <c r="G45" s="4"/>
      <c r="H45" s="4"/>
      <c r="I45" s="4"/>
      <c r="J45" s="4"/>
      <c r="K45" s="4">
        <v>320.16000000000003</v>
      </c>
      <c r="L45" s="4">
        <v>69082</v>
      </c>
      <c r="M45" s="4">
        <v>3636</v>
      </c>
      <c r="N45" s="4">
        <v>14.69</v>
      </c>
      <c r="O45" s="4">
        <v>69082</v>
      </c>
      <c r="P45" s="4">
        <v>3636</v>
      </c>
      <c r="Q45" s="4">
        <v>14.69</v>
      </c>
      <c r="R45" s="9">
        <v>4388</v>
      </c>
      <c r="S45" s="9">
        <v>4388</v>
      </c>
      <c r="T45" s="9">
        <v>160.08000000000001</v>
      </c>
      <c r="U45" s="9">
        <v>160.08000000000001</v>
      </c>
    </row>
    <row r="46" spans="4:21">
      <c r="D46" s="9" t="s">
        <v>75</v>
      </c>
      <c r="E46" s="9">
        <v>300</v>
      </c>
      <c r="F46" s="9">
        <v>300</v>
      </c>
      <c r="K46" s="9">
        <v>350.16</v>
      </c>
      <c r="L46" s="9">
        <v>56054</v>
      </c>
      <c r="M46" s="9">
        <v>3297</v>
      </c>
      <c r="N46" s="9">
        <v>12.65</v>
      </c>
      <c r="O46" s="9">
        <v>56054</v>
      </c>
      <c r="P46" s="9">
        <v>3297</v>
      </c>
      <c r="Q46" s="9">
        <v>12.65</v>
      </c>
      <c r="R46" s="9">
        <v>4098</v>
      </c>
      <c r="S46" s="9">
        <v>4098</v>
      </c>
      <c r="T46" s="9">
        <v>175.08</v>
      </c>
      <c r="U46" s="9">
        <v>175.08</v>
      </c>
    </row>
    <row r="47" spans="4:21">
      <c r="D47" s="9" t="s">
        <v>76</v>
      </c>
      <c r="E47" s="9">
        <v>300</v>
      </c>
      <c r="F47" s="9">
        <v>300</v>
      </c>
      <c r="K47" s="9">
        <v>290.16000000000003</v>
      </c>
      <c r="L47" s="9">
        <v>45386</v>
      </c>
      <c r="M47" s="9">
        <v>2751</v>
      </c>
      <c r="N47" s="9">
        <v>12.51</v>
      </c>
      <c r="O47" s="9">
        <v>45386</v>
      </c>
      <c r="P47" s="9">
        <v>2751</v>
      </c>
      <c r="Q47" s="9">
        <v>12.51</v>
      </c>
      <c r="R47" s="9">
        <v>3370</v>
      </c>
      <c r="S47" s="9">
        <v>3370</v>
      </c>
      <c r="T47" s="9">
        <v>145.08000000000001</v>
      </c>
      <c r="U47" s="9">
        <v>145.08000000000001</v>
      </c>
    </row>
    <row r="48" spans="4:21">
      <c r="D48" s="9" t="s">
        <v>77</v>
      </c>
      <c r="E48" s="9">
        <v>300</v>
      </c>
      <c r="F48" s="9">
        <v>300</v>
      </c>
      <c r="K48" s="9">
        <v>230.16</v>
      </c>
      <c r="L48" s="9">
        <v>35214</v>
      </c>
      <c r="M48" s="9">
        <v>2201</v>
      </c>
      <c r="N48" s="9">
        <v>12.37</v>
      </c>
      <c r="O48" s="9">
        <v>35214</v>
      </c>
      <c r="P48" s="9">
        <v>2201</v>
      </c>
      <c r="Q48" s="9">
        <v>12.37</v>
      </c>
      <c r="R48" s="9">
        <v>2658</v>
      </c>
      <c r="S48" s="9">
        <v>2658</v>
      </c>
      <c r="T48" s="9">
        <v>115.08</v>
      </c>
      <c r="U48" s="9">
        <v>1153.08</v>
      </c>
    </row>
    <row r="49" spans="4:21">
      <c r="D49" s="9" t="s">
        <v>78</v>
      </c>
      <c r="E49" s="9">
        <v>300</v>
      </c>
      <c r="F49" s="9">
        <v>300</v>
      </c>
      <c r="K49" s="9">
        <v>150.16</v>
      </c>
      <c r="L49" s="9">
        <v>21612</v>
      </c>
      <c r="M49" s="9">
        <v>1394</v>
      </c>
      <c r="N49" s="9">
        <v>12</v>
      </c>
      <c r="O49" s="9">
        <v>21612</v>
      </c>
      <c r="P49" s="9">
        <v>1394</v>
      </c>
      <c r="Q49" s="9">
        <v>12</v>
      </c>
      <c r="R49" s="9">
        <v>1683</v>
      </c>
      <c r="S49" s="9">
        <v>1683</v>
      </c>
      <c r="T49" s="9">
        <v>75.08</v>
      </c>
      <c r="U49" s="9">
        <v>75.08</v>
      </c>
    </row>
    <row r="50" spans="4:21">
      <c r="D50" s="4" t="s">
        <v>74</v>
      </c>
      <c r="E50" s="4">
        <v>300</v>
      </c>
      <c r="F50" s="4">
        <v>300</v>
      </c>
      <c r="G50" s="4"/>
      <c r="H50" s="4"/>
      <c r="I50" s="4"/>
      <c r="J50" s="4"/>
      <c r="K50" s="4">
        <v>110.16</v>
      </c>
      <c r="L50" s="4">
        <v>16294</v>
      </c>
      <c r="M50" s="4">
        <v>1086</v>
      </c>
      <c r="N50" s="4">
        <v>12.16</v>
      </c>
      <c r="O50" s="4">
        <v>16294</v>
      </c>
      <c r="P50" s="4">
        <v>1086</v>
      </c>
      <c r="Q50" s="4">
        <v>12.16</v>
      </c>
      <c r="R50" s="9">
        <v>1278</v>
      </c>
      <c r="S50" s="9">
        <v>1278</v>
      </c>
      <c r="T50" s="9">
        <v>55.08</v>
      </c>
      <c r="U50" s="9">
        <v>55.08</v>
      </c>
    </row>
    <row r="51" spans="4:21">
      <c r="D51" s="9" t="s">
        <v>88</v>
      </c>
      <c r="E51" s="9">
        <v>200</v>
      </c>
      <c r="F51" s="9">
        <v>200</v>
      </c>
      <c r="K51" s="9">
        <v>117.6</v>
      </c>
      <c r="L51" s="9">
        <v>8052</v>
      </c>
      <c r="M51" s="9">
        <v>700</v>
      </c>
      <c r="N51" s="9">
        <v>8.27</v>
      </c>
      <c r="O51" s="9">
        <v>8052</v>
      </c>
      <c r="P51" s="9">
        <v>700</v>
      </c>
      <c r="Q51" s="9">
        <v>8.27</v>
      </c>
      <c r="R51" s="9">
        <v>882</v>
      </c>
      <c r="S51" s="9">
        <v>882</v>
      </c>
      <c r="T51" s="9">
        <v>58.8</v>
      </c>
      <c r="U51" s="9">
        <v>58.8</v>
      </c>
    </row>
    <row r="52" spans="4:21">
      <c r="D52" s="9" t="s">
        <v>89</v>
      </c>
      <c r="E52" s="4">
        <v>200</v>
      </c>
      <c r="F52" s="4">
        <v>200</v>
      </c>
      <c r="G52" s="4"/>
      <c r="H52" s="4"/>
      <c r="I52" s="4"/>
      <c r="J52" s="4"/>
      <c r="K52" s="4">
        <v>87.84</v>
      </c>
      <c r="L52" s="4">
        <v>5872</v>
      </c>
      <c r="M52" s="4">
        <v>534</v>
      </c>
      <c r="N52" s="4">
        <v>8.19</v>
      </c>
      <c r="O52" s="4">
        <v>5872</v>
      </c>
      <c r="P52" s="4">
        <v>534</v>
      </c>
      <c r="Q52" s="4">
        <v>8.19</v>
      </c>
      <c r="R52" s="9">
        <v>657</v>
      </c>
      <c r="S52" s="9">
        <v>657</v>
      </c>
      <c r="T52" s="9">
        <v>43.92</v>
      </c>
      <c r="U52" s="9">
        <v>43.92</v>
      </c>
    </row>
    <row r="53" spans="4:21">
      <c r="D53" s="9" t="s">
        <v>90</v>
      </c>
      <c r="E53" s="4">
        <v>200</v>
      </c>
      <c r="F53" s="4">
        <v>200</v>
      </c>
      <c r="G53" s="4"/>
      <c r="H53" s="4"/>
      <c r="I53" s="4"/>
      <c r="J53" s="4"/>
      <c r="K53" s="4">
        <v>57.64</v>
      </c>
      <c r="L53" s="4">
        <v>3857</v>
      </c>
      <c r="M53" s="4">
        <v>367</v>
      </c>
      <c r="N53" s="4">
        <v>8.18</v>
      </c>
      <c r="O53" s="4">
        <v>3857</v>
      </c>
      <c r="P53" s="4">
        <v>367</v>
      </c>
      <c r="Q53" s="4">
        <v>8.18</v>
      </c>
      <c r="R53" s="9">
        <v>440</v>
      </c>
      <c r="S53" s="9">
        <v>440</v>
      </c>
      <c r="T53" s="9">
        <v>28.82</v>
      </c>
      <c r="U53" s="9">
        <v>28.82</v>
      </c>
    </row>
    <row r="54" spans="4:21">
      <c r="D54" s="4" t="s">
        <v>91</v>
      </c>
      <c r="E54" s="4">
        <v>200</v>
      </c>
      <c r="F54" s="4">
        <v>200</v>
      </c>
      <c r="G54" s="4"/>
      <c r="H54" s="4"/>
      <c r="I54" s="4"/>
      <c r="J54" s="4"/>
      <c r="K54" s="4">
        <v>27.64</v>
      </c>
      <c r="L54" s="4">
        <v>2000</v>
      </c>
      <c r="M54" s="4">
        <v>200</v>
      </c>
      <c r="N54" s="4">
        <v>8.51</v>
      </c>
      <c r="O54" s="4">
        <v>2000</v>
      </c>
      <c r="P54" s="4">
        <v>200</v>
      </c>
      <c r="Q54" s="4">
        <v>8.51</v>
      </c>
      <c r="R54" s="9">
        <v>230</v>
      </c>
      <c r="S54" s="9">
        <v>230</v>
      </c>
      <c r="T54" s="9">
        <v>13.82</v>
      </c>
      <c r="U54" s="9">
        <v>13.82</v>
      </c>
    </row>
    <row r="55" spans="4:21">
      <c r="D55" s="4" t="s">
        <v>144</v>
      </c>
      <c r="E55" s="4">
        <v>300</v>
      </c>
      <c r="F55" s="4">
        <v>300</v>
      </c>
      <c r="G55" s="4"/>
      <c r="H55" s="4"/>
      <c r="I55" s="4"/>
      <c r="J55" s="4"/>
      <c r="K55" s="4">
        <v>470.16</v>
      </c>
      <c r="L55" s="4">
        <v>79421</v>
      </c>
      <c r="M55" s="4">
        <v>4392</v>
      </c>
      <c r="N55" s="4">
        <v>12.99</v>
      </c>
      <c r="O55" s="4">
        <v>79421</v>
      </c>
      <c r="P55" s="4">
        <v>4392</v>
      </c>
      <c r="Q55" s="4">
        <v>12.99</v>
      </c>
      <c r="R55" s="4">
        <v>5599.3</v>
      </c>
      <c r="S55" s="4">
        <v>5599.3</v>
      </c>
      <c r="T55" s="4">
        <v>235.08</v>
      </c>
      <c r="U55" s="4">
        <v>235.08</v>
      </c>
    </row>
  </sheetData>
  <pageMargins left="0.7" right="0.7" top="0.75" bottom="0.75" header="0.3" footer="0.3"/>
  <pageSetup orientation="portrait" horizontalDpi="300" verticalDpi="0" copies="0" r:id="rId1"/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R30"/>
  <sheetViews>
    <sheetView workbookViewId="0">
      <selection activeCell="F18" sqref="F18"/>
    </sheetView>
  </sheetViews>
  <sheetFormatPr defaultRowHeight="15"/>
  <cols>
    <col min="6" max="6" width="9.140625" style="9"/>
  </cols>
  <sheetData>
    <row r="1" spans="1:10" s="9" customFormat="1">
      <c r="A1" s="95" t="s">
        <v>97</v>
      </c>
      <c r="B1" s="96"/>
      <c r="C1" s="96"/>
      <c r="D1" s="96"/>
      <c r="E1" s="96"/>
      <c r="F1" s="96"/>
      <c r="G1" s="96"/>
      <c r="H1" s="96"/>
      <c r="I1" s="96"/>
      <c r="J1" s="96"/>
    </row>
    <row r="2" spans="1:10" s="9" customFormat="1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10" s="9" customFormat="1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s="9" customFormat="1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s="9" customFormat="1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10">
      <c r="A8" s="11"/>
      <c r="B8" s="11"/>
      <c r="C8" s="11" t="s">
        <v>35</v>
      </c>
      <c r="D8" s="54">
        <v>18000</v>
      </c>
      <c r="E8" s="11" t="s">
        <v>40</v>
      </c>
      <c r="F8" s="11" t="s">
        <v>37</v>
      </c>
      <c r="G8" s="54">
        <v>300</v>
      </c>
      <c r="H8" s="11" t="s">
        <v>41</v>
      </c>
      <c r="I8" s="11"/>
      <c r="J8" s="11"/>
    </row>
    <row r="9" spans="1:10">
      <c r="A9" s="11"/>
      <c r="B9" s="11"/>
      <c r="C9" s="11" t="s">
        <v>36</v>
      </c>
      <c r="D9" s="54">
        <v>1</v>
      </c>
      <c r="E9" s="11"/>
      <c r="F9" s="11" t="s">
        <v>38</v>
      </c>
      <c r="G9" s="54">
        <v>3600</v>
      </c>
      <c r="H9" s="11" t="s">
        <v>42</v>
      </c>
      <c r="I9" s="11"/>
      <c r="J9" s="11"/>
    </row>
    <row r="10" spans="1:10" s="9" customFormat="1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spans="1:10" s="9" customFormat="1">
      <c r="A11" s="11"/>
      <c r="B11" s="22"/>
      <c r="C11" s="22"/>
      <c r="D11" s="11"/>
      <c r="E11" s="11"/>
      <c r="F11" s="11"/>
      <c r="G11" s="11"/>
      <c r="H11" s="11"/>
      <c r="I11" s="11"/>
      <c r="J11" s="11"/>
    </row>
    <row r="12" spans="1:10" s="9" customFormat="1">
      <c r="A12" s="11"/>
      <c r="B12" s="22"/>
      <c r="C12" s="22"/>
      <c r="D12" s="11"/>
      <c r="E12" s="93" t="s">
        <v>39</v>
      </c>
      <c r="F12" s="94">
        <v>160</v>
      </c>
      <c r="H12" s="11"/>
      <c r="I12" s="11"/>
      <c r="J12" s="11"/>
    </row>
    <row r="13" spans="1:10">
      <c r="A13" s="11"/>
      <c r="B13" s="11"/>
      <c r="C13" s="11"/>
      <c r="D13" s="11"/>
      <c r="E13" s="93"/>
      <c r="F13" s="94"/>
      <c r="G13" s="11"/>
      <c r="H13" s="11"/>
      <c r="I13" s="11"/>
      <c r="J13" s="11"/>
    </row>
    <row r="14" spans="1:10">
      <c r="A14" s="11"/>
      <c r="B14" s="11"/>
      <c r="C14" s="13"/>
      <c r="D14" s="11"/>
      <c r="E14" s="11"/>
      <c r="F14" s="22"/>
      <c r="G14" s="22"/>
      <c r="H14" s="11"/>
      <c r="I14" s="11"/>
      <c r="J14" s="11"/>
    </row>
    <row r="15" spans="1:10">
      <c r="A15" s="11"/>
      <c r="B15" s="11"/>
      <c r="C15" s="11"/>
      <c r="D15" s="11">
        <f>(D9*G8)/VLOOKUP(F12,IPE[],14,FALSE)</f>
        <v>163.04347826086956</v>
      </c>
      <c r="E15" s="11"/>
      <c r="F15" s="53"/>
      <c r="G15" s="11"/>
      <c r="H15" s="11"/>
      <c r="I15" s="11"/>
      <c r="J15" s="11"/>
    </row>
    <row r="16" spans="1:10">
      <c r="A16" s="11"/>
      <c r="B16" s="11"/>
      <c r="C16" s="11"/>
      <c r="D16" s="11"/>
      <c r="E16" s="11"/>
      <c r="F16" s="11"/>
      <c r="G16" s="11"/>
      <c r="H16" s="11"/>
      <c r="I16" s="11"/>
      <c r="J16" s="11"/>
    </row>
    <row r="17" spans="1:18">
      <c r="A17" s="11"/>
      <c r="B17" s="11"/>
      <c r="C17" s="11"/>
      <c r="D17" s="11"/>
      <c r="E17" s="11"/>
      <c r="F17" s="11"/>
      <c r="G17" s="11"/>
      <c r="H17" s="11"/>
      <c r="I17" s="11"/>
      <c r="J17" s="11"/>
      <c r="R17" s="9"/>
    </row>
    <row r="18" spans="1:18">
      <c r="A18" s="11"/>
      <c r="B18" s="11"/>
      <c r="C18" s="11"/>
      <c r="D18" s="11">
        <f>SQRT((2*PI()^2*2040000)/G9)</f>
        <v>105.76176839750714</v>
      </c>
      <c r="E18" s="11"/>
      <c r="F18" s="11"/>
      <c r="G18" s="11"/>
      <c r="H18" s="11"/>
      <c r="I18" s="11"/>
      <c r="J18" s="11"/>
    </row>
    <row r="19" spans="1:18">
      <c r="A19" s="11"/>
      <c r="B19" s="11"/>
      <c r="C19" s="11"/>
      <c r="D19" s="11"/>
      <c r="E19" s="11"/>
      <c r="F19" s="11"/>
      <c r="G19" s="11"/>
      <c r="H19" s="11"/>
      <c r="I19" s="11"/>
      <c r="J19" s="11"/>
    </row>
    <row r="20" spans="1:18">
      <c r="A20" s="11"/>
      <c r="B20" s="11"/>
      <c r="C20" s="11"/>
      <c r="D20" s="11"/>
      <c r="E20" s="11"/>
      <c r="F20" s="11"/>
      <c r="G20" s="11"/>
      <c r="H20" s="11"/>
      <c r="I20" s="11"/>
      <c r="J20" s="11"/>
    </row>
    <row r="21" spans="1:18">
      <c r="A21" s="11"/>
      <c r="B21" s="11"/>
      <c r="C21" s="11"/>
      <c r="D21" s="11"/>
      <c r="E21" s="11"/>
      <c r="F21" s="11"/>
      <c r="G21" s="11"/>
      <c r="H21" s="11"/>
      <c r="I21" s="11"/>
      <c r="J21" s="11"/>
    </row>
    <row r="22" spans="1:18">
      <c r="A22" s="11"/>
      <c r="B22" s="11"/>
      <c r="C22" s="11"/>
      <c r="D22" s="11"/>
      <c r="E22" s="11"/>
      <c r="F22" s="11"/>
      <c r="G22" s="11">
        <f>IF(D15&lt;D18,(5/3)+((3/8)*(D15/D18))-((1/8)*(D15/D18)^3),23/12)</f>
        <v>1.9166666666666667</v>
      </c>
      <c r="H22" s="11"/>
      <c r="I22" s="11"/>
      <c r="J22" s="11"/>
    </row>
    <row r="23" spans="1:18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spans="1:18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spans="1:18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6" spans="1:18" ht="18.75">
      <c r="A26" s="11"/>
      <c r="B26" s="11"/>
      <c r="C26" s="13">
        <f>D8/(VLOOKUP(F12,IPE[],8,FALSE))</f>
        <v>895.52238805970148</v>
      </c>
      <c r="D26" s="11"/>
      <c r="E26" s="11"/>
      <c r="F26" s="11">
        <f>IF(D15&lt;=D18,(2400-(1200*((D15/D18)^2)))/G22,((12*PI()^2*2040000)/(23*D15^2)))</f>
        <v>395.16316885257618</v>
      </c>
      <c r="G26" s="11"/>
      <c r="H26" s="38" t="str">
        <f>IF(C26&lt;=F26,"ok","Not ok")</f>
        <v>Not ok</v>
      </c>
      <c r="I26" s="11"/>
      <c r="J26" s="11"/>
    </row>
    <row r="27" spans="1:18">
      <c r="A27" s="11"/>
      <c r="B27" s="11"/>
      <c r="C27" s="11"/>
      <c r="D27" s="11"/>
      <c r="E27" s="11"/>
      <c r="F27" s="11"/>
      <c r="G27" s="11"/>
      <c r="H27" s="11"/>
      <c r="I27" s="11"/>
      <c r="J27" s="11"/>
    </row>
    <row r="28" spans="1:18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spans="1:18">
      <c r="A29" s="11"/>
      <c r="B29" s="11"/>
      <c r="C29" s="11"/>
      <c r="D29" s="11"/>
      <c r="E29" s="11"/>
      <c r="F29" s="11"/>
      <c r="G29" s="11"/>
      <c r="H29" s="11"/>
      <c r="I29" s="11"/>
      <c r="J29" s="11"/>
    </row>
    <row r="30" spans="1:18">
      <c r="A30" s="11"/>
      <c r="B30" s="11"/>
      <c r="C30" s="11"/>
      <c r="D30" s="11"/>
      <c r="E30" s="11"/>
      <c r="F30" s="11"/>
      <c r="G30" s="11"/>
      <c r="H30" s="11"/>
      <c r="I30" s="11"/>
      <c r="J30" s="11"/>
    </row>
  </sheetData>
  <sheetProtection sheet="1" objects="1" scenarios="1"/>
  <mergeCells count="3">
    <mergeCell ref="E12:E13"/>
    <mergeCell ref="F12:F13"/>
    <mergeCell ref="A1:J6"/>
  </mergeCells>
  <dataValidations count="1">
    <dataValidation type="list" allowBlank="1" showInputMessage="1" showErrorMessage="1" sqref="C11:C12 F12:F13 G14">
      <formula1>"120,140,160,180,200,240,270,300"</formula1>
    </dataValidation>
  </dataValidations>
  <pageMargins left="0.7" right="0.7" top="0.75" bottom="0.75" header="0.3" footer="0.3"/>
  <pageSetup orientation="portrait" horizontalDpi="300" verticalDpi="0" copies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3"/>
  <sheetViews>
    <sheetView topLeftCell="A25" workbookViewId="0">
      <selection activeCell="O17" sqref="O17"/>
    </sheetView>
  </sheetViews>
  <sheetFormatPr defaultRowHeight="15"/>
  <cols>
    <col min="4" max="4" width="7.42578125" customWidth="1"/>
    <col min="5" max="5" width="10.28515625" style="9" customWidth="1"/>
    <col min="6" max="6" width="11.42578125" customWidth="1"/>
    <col min="8" max="8" width="8.28515625" customWidth="1"/>
  </cols>
  <sheetData>
    <row r="1" spans="1:14" s="9" customFormat="1">
      <c r="A1" s="97" t="s">
        <v>63</v>
      </c>
      <c r="B1" s="97"/>
      <c r="C1" s="97"/>
      <c r="D1" s="97"/>
      <c r="E1" s="97"/>
      <c r="F1" s="97"/>
      <c r="G1" s="97"/>
      <c r="H1" s="97"/>
      <c r="I1" s="97"/>
      <c r="J1" s="97"/>
    </row>
    <row r="2" spans="1:14" s="9" customFormat="1" ht="18.75" customHeight="1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4" s="9" customFormat="1" ht="18.75" customHeight="1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4" s="9" customFormat="1" ht="18.75" customHeight="1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4" s="9" customFormat="1" ht="18.75" customHeight="1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4" ht="15" customHeight="1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4" ht="21" customHeight="1">
      <c r="A7" s="11"/>
      <c r="B7" s="37" t="s">
        <v>43</v>
      </c>
      <c r="C7" s="56" t="s">
        <v>45</v>
      </c>
      <c r="D7" s="40"/>
      <c r="E7" s="40" t="s">
        <v>44</v>
      </c>
      <c r="F7" s="56">
        <v>8</v>
      </c>
      <c r="G7" s="51"/>
      <c r="H7" s="51"/>
      <c r="I7" s="51"/>
      <c r="J7" s="51"/>
      <c r="K7" s="10"/>
      <c r="L7" s="10"/>
      <c r="M7" s="10"/>
      <c r="N7" s="9"/>
    </row>
    <row r="8" spans="1:14" ht="15" customHeight="1">
      <c r="A8" s="11"/>
      <c r="B8" s="11"/>
      <c r="C8" s="11"/>
      <c r="D8" s="11"/>
      <c r="E8" s="41"/>
      <c r="F8" s="11"/>
      <c r="G8" s="11"/>
      <c r="H8" s="11"/>
      <c r="I8" s="11"/>
      <c r="J8" s="11"/>
      <c r="K8" s="10"/>
      <c r="L8" s="10"/>
      <c r="M8" s="10"/>
    </row>
    <row r="9" spans="1:14" ht="15" customHeight="1">
      <c r="A9" s="11"/>
      <c r="B9" s="11"/>
      <c r="C9" s="11"/>
      <c r="D9" s="11"/>
      <c r="E9" s="41"/>
      <c r="F9" s="11"/>
      <c r="G9" s="11"/>
      <c r="H9" s="11"/>
      <c r="I9" s="11"/>
      <c r="J9" s="11"/>
      <c r="K9" s="10"/>
      <c r="L9" s="10"/>
      <c r="M9" s="10"/>
    </row>
    <row r="10" spans="1:14" ht="18.75" customHeight="1">
      <c r="A10" s="11"/>
      <c r="B10" s="11"/>
      <c r="C10" s="30" t="s">
        <v>46</v>
      </c>
      <c r="D10" s="57">
        <v>3.57</v>
      </c>
      <c r="E10" s="41" t="s">
        <v>62</v>
      </c>
      <c r="F10" s="30" t="s">
        <v>47</v>
      </c>
      <c r="G10" s="57">
        <v>9.57</v>
      </c>
      <c r="H10" s="42" t="s">
        <v>48</v>
      </c>
      <c r="I10" s="11"/>
      <c r="J10" s="11"/>
      <c r="K10" s="10"/>
      <c r="L10" s="10"/>
      <c r="M10" s="10"/>
    </row>
    <row r="11" spans="1:14" ht="15" customHeight="1">
      <c r="A11" s="11"/>
      <c r="B11" s="11"/>
      <c r="C11" s="11"/>
      <c r="D11" s="11"/>
      <c r="E11" s="41"/>
      <c r="F11" s="11"/>
      <c r="G11" s="11"/>
      <c r="H11" s="11"/>
      <c r="I11" s="11"/>
      <c r="J11" s="11"/>
      <c r="K11" s="10"/>
      <c r="L11" s="10"/>
      <c r="M11" s="10"/>
    </row>
    <row r="12" spans="1:14" ht="15" customHeight="1">
      <c r="A12" s="11"/>
      <c r="B12" s="11"/>
      <c r="C12" s="11"/>
      <c r="D12" s="11"/>
      <c r="E12" s="41"/>
      <c r="F12" s="11"/>
      <c r="G12" s="11"/>
      <c r="H12" s="11"/>
      <c r="I12" s="11"/>
      <c r="J12" s="11"/>
      <c r="K12" s="10"/>
      <c r="L12" s="10"/>
      <c r="M12" s="10"/>
    </row>
    <row r="13" spans="1:14" ht="15.75">
      <c r="A13" s="11"/>
      <c r="B13" s="11"/>
      <c r="C13" s="11"/>
      <c r="D13" s="11"/>
      <c r="E13" s="11"/>
      <c r="F13" s="11"/>
      <c r="G13" s="11"/>
      <c r="H13" s="25">
        <f>(0.9*D10*100000)/(0.66*2400)</f>
        <v>202.84090909090909</v>
      </c>
      <c r="I13" s="11" t="s">
        <v>51</v>
      </c>
      <c r="J13" s="11"/>
      <c r="K13" s="10"/>
      <c r="L13" s="10"/>
      <c r="M13" s="10"/>
    </row>
    <row r="14" spans="1:14" ht="22.5">
      <c r="A14" s="11"/>
      <c r="B14" s="43"/>
      <c r="C14" s="11"/>
      <c r="D14" s="11"/>
      <c r="E14" s="11"/>
      <c r="F14" s="13"/>
      <c r="G14" s="13"/>
      <c r="H14" s="13"/>
      <c r="I14" s="11"/>
      <c r="J14" s="11"/>
    </row>
    <row r="15" spans="1:14" ht="21">
      <c r="A15" s="11"/>
      <c r="B15" s="11"/>
      <c r="C15" s="25"/>
      <c r="D15" s="59" t="s">
        <v>39</v>
      </c>
      <c r="E15" s="58">
        <v>240</v>
      </c>
      <c r="F15" s="52" t="s">
        <v>50</v>
      </c>
      <c r="G15" s="21">
        <f>VLOOKUP(E15,IF(D15="IPE",IPE[],USER),10,FALSE)</f>
        <v>324</v>
      </c>
      <c r="H15" s="15" t="s">
        <v>51</v>
      </c>
      <c r="I15" s="11"/>
      <c r="J15" s="11"/>
    </row>
    <row r="16" spans="1:14" ht="20.25" customHeight="1">
      <c r="A16" s="11"/>
      <c r="B16" s="11"/>
      <c r="C16" s="11"/>
      <c r="D16" s="11"/>
      <c r="E16" s="11"/>
      <c r="F16" s="44"/>
      <c r="G16" s="44"/>
      <c r="H16" s="11"/>
      <c r="I16" s="11"/>
      <c r="J16" s="11"/>
    </row>
    <row r="17" spans="1:10" s="9" customFormat="1" ht="21" customHeight="1">
      <c r="A17" s="11"/>
      <c r="B17" s="11"/>
      <c r="C17" s="11"/>
      <c r="D17" s="11"/>
      <c r="E17" s="45">
        <f>(0.9*D10*100000)/(0.66*2400*G15)</f>
        <v>0.62605218855218858</v>
      </c>
      <c r="F17" s="44"/>
      <c r="G17" s="44"/>
      <c r="H17" s="46" t="str">
        <f>IF(E17&lt;=1,"ok","not ok")</f>
        <v>ok</v>
      </c>
      <c r="I17" s="11"/>
      <c r="J17" s="11"/>
    </row>
    <row r="18" spans="1:10" ht="21" customHeight="1">
      <c r="A18" s="11"/>
      <c r="B18" s="11"/>
      <c r="C18" s="11"/>
      <c r="D18" s="11"/>
      <c r="E18" s="11"/>
      <c r="F18" s="44"/>
      <c r="G18" s="44"/>
      <c r="H18" s="101" t="s">
        <v>52</v>
      </c>
      <c r="I18" s="101"/>
      <c r="J18" s="101"/>
    </row>
    <row r="19" spans="1:10" ht="15" customHeight="1">
      <c r="A19" s="11"/>
      <c r="B19" s="11"/>
      <c r="C19" s="11"/>
      <c r="D19" s="11"/>
      <c r="E19" s="11"/>
      <c r="F19" s="47"/>
      <c r="G19" s="47"/>
      <c r="H19" s="101"/>
      <c r="I19" s="101"/>
      <c r="J19" s="101"/>
    </row>
    <row r="20" spans="1:10">
      <c r="A20" s="11"/>
      <c r="B20" s="11"/>
      <c r="C20" s="103">
        <f>VLOOKUP(E15,IF(D15="IPE",IPE[],USER),2,FALSE)/VLOOKUP(E15,IF(D15="IPE",IPE[],USER),4,FALSE)</f>
        <v>38.70967741935484</v>
      </c>
      <c r="D20" s="103"/>
      <c r="E20" s="11"/>
      <c r="F20" s="11"/>
      <c r="G20" s="11"/>
      <c r="H20" s="11"/>
      <c r="I20" s="11"/>
      <c r="J20" s="11"/>
    </row>
    <row r="21" spans="1:10" ht="15.75">
      <c r="A21" s="11"/>
      <c r="B21" s="11"/>
      <c r="C21" s="103"/>
      <c r="D21" s="103"/>
      <c r="E21" s="11"/>
      <c r="F21" s="11"/>
      <c r="G21" s="11"/>
      <c r="H21" s="48">
        <f>IF(C20&lt;=65.01,0.4*2400,IF(C20&gt;65.01,MIN(960,(55*100000)/(C20^2)),""))</f>
        <v>960</v>
      </c>
      <c r="I21" s="11" t="s">
        <v>53</v>
      </c>
      <c r="J21" s="11"/>
    </row>
    <row r="22" spans="1:10">
      <c r="A22" s="11"/>
      <c r="B22" s="11"/>
      <c r="C22" s="103"/>
      <c r="D22" s="103"/>
      <c r="E22" s="11"/>
      <c r="F22" s="11"/>
      <c r="G22" s="11"/>
      <c r="H22" s="11"/>
      <c r="I22" s="11"/>
      <c r="J22" s="11"/>
    </row>
    <row r="23" spans="1:10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spans="1:10" ht="21">
      <c r="A24" s="11"/>
      <c r="B24" s="45"/>
      <c r="C24" s="11"/>
      <c r="D24" s="11"/>
      <c r="E24" s="25">
        <f>G10*100000/(VLOOKUP(E15,IF(D15="IPE",IPE[],USER),2,FALSE)*VLOOKUP(E15,IF(D15="IPE",IPE[],USER),4,FALSE))</f>
        <v>643.14516129032256</v>
      </c>
      <c r="F24" s="49" t="s">
        <v>54</v>
      </c>
      <c r="G24" s="39" t="str">
        <f>IF(E24&lt;=H21,"ok","Not OK")</f>
        <v>ok</v>
      </c>
      <c r="H24" s="11"/>
      <c r="I24" s="11"/>
      <c r="J24" s="11"/>
    </row>
    <row r="25" spans="1:10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6" spans="1:10" ht="15" customHeight="1">
      <c r="A26" s="11"/>
      <c r="B26" s="11"/>
      <c r="C26" s="11"/>
      <c r="D26" s="11"/>
      <c r="E26" s="11"/>
      <c r="F26" s="50"/>
      <c r="G26" s="50"/>
      <c r="H26" s="50"/>
      <c r="I26" s="50"/>
      <c r="J26" s="50"/>
    </row>
    <row r="27" spans="1:10" ht="15" customHeight="1">
      <c r="A27" s="11"/>
      <c r="B27" s="11"/>
      <c r="C27" s="11"/>
      <c r="D27" s="11"/>
      <c r="E27" s="11"/>
      <c r="F27" s="50"/>
      <c r="G27" s="50"/>
      <c r="H27" s="102" t="s">
        <v>64</v>
      </c>
      <c r="I27" s="102"/>
      <c r="J27" s="102"/>
    </row>
    <row r="28" spans="1:10" ht="18" customHeight="1">
      <c r="A28" s="11"/>
      <c r="B28" s="11"/>
      <c r="C28" s="11"/>
      <c r="D28" s="11"/>
      <c r="E28" s="11"/>
      <c r="F28" s="50"/>
      <c r="G28" s="50"/>
      <c r="H28" s="102"/>
      <c r="I28" s="102"/>
      <c r="J28" s="102"/>
    </row>
    <row r="29" spans="1:10">
      <c r="A29" s="11"/>
      <c r="B29" s="11"/>
      <c r="C29" s="11"/>
      <c r="D29" s="11"/>
      <c r="E29" s="11"/>
      <c r="F29" s="11"/>
      <c r="G29" s="11"/>
      <c r="H29" s="11"/>
      <c r="I29" s="11"/>
      <c r="J29" s="11"/>
    </row>
    <row r="30" spans="1:10">
      <c r="A30" s="11"/>
      <c r="B30" s="11"/>
      <c r="C30" s="11"/>
      <c r="D30" s="11"/>
      <c r="E30" s="11"/>
      <c r="F30" s="11"/>
      <c r="G30" s="11"/>
      <c r="H30" s="11"/>
      <c r="I30" s="11"/>
      <c r="J30" s="11"/>
    </row>
    <row r="31" spans="1:10">
      <c r="A31" s="11"/>
      <c r="B31" s="11"/>
      <c r="C31" s="11"/>
      <c r="D31" s="11"/>
      <c r="E31" s="11"/>
      <c r="F31" s="11"/>
      <c r="G31" s="11"/>
      <c r="H31" s="11"/>
      <c r="I31" s="11"/>
      <c r="J31" s="11"/>
    </row>
    <row r="32" spans="1:10">
      <c r="A32" s="11"/>
      <c r="B32" s="11"/>
      <c r="C32" s="11"/>
      <c r="D32" s="11"/>
      <c r="E32" s="11"/>
      <c r="F32" s="11"/>
      <c r="G32" s="11"/>
      <c r="H32" s="11"/>
      <c r="I32" s="11"/>
      <c r="J32" s="11"/>
    </row>
    <row r="33" spans="1:14" ht="27">
      <c r="A33" s="11"/>
      <c r="B33" s="98" t="s">
        <v>55</v>
      </c>
      <c r="C33" s="98"/>
      <c r="D33" s="99" t="s">
        <v>98</v>
      </c>
      <c r="E33" s="100"/>
      <c r="F33" s="17" t="s">
        <v>56</v>
      </c>
      <c r="G33" s="18">
        <f>IF(D33="طره ای",1.8,IF(D33="دوسر مفصل",5.384,IF(D33="دوسر گیردار",1.384,"")))</f>
        <v>1.8</v>
      </c>
      <c r="H33" s="11"/>
      <c r="I33" s="11"/>
      <c r="J33" s="11"/>
    </row>
    <row r="34" spans="1:14">
      <c r="A34" s="11"/>
      <c r="B34" s="11"/>
      <c r="C34" s="11"/>
      <c r="D34" s="11"/>
      <c r="E34" s="11"/>
      <c r="F34" s="11"/>
      <c r="G34" s="11"/>
      <c r="H34" s="11"/>
      <c r="I34" s="11"/>
      <c r="J34" s="11"/>
      <c r="N34" s="55"/>
    </row>
    <row r="35" spans="1:14" ht="15.75">
      <c r="A35" s="11"/>
      <c r="B35" s="11"/>
      <c r="C35" s="16" t="s">
        <v>37</v>
      </c>
      <c r="D35" s="54">
        <v>5.73</v>
      </c>
      <c r="E35" s="11" t="s">
        <v>61</v>
      </c>
      <c r="F35" s="16" t="s">
        <v>57</v>
      </c>
      <c r="G35" s="18">
        <f>VLOOKUP(E15,IF(D15="ipe",IPE[],USER),9,FALSE)</f>
        <v>3890</v>
      </c>
      <c r="H35" s="11" t="s">
        <v>58</v>
      </c>
      <c r="I35" s="11"/>
      <c r="J35" s="11"/>
    </row>
    <row r="36" spans="1:14">
      <c r="A36" s="11"/>
      <c r="B36" s="11"/>
      <c r="C36" s="11" t="s">
        <v>59</v>
      </c>
      <c r="D36" s="54">
        <v>3.75</v>
      </c>
      <c r="E36" s="11" t="s">
        <v>49</v>
      </c>
      <c r="F36" s="16" t="s">
        <v>60</v>
      </c>
      <c r="G36" s="60">
        <v>0.77</v>
      </c>
      <c r="H36" s="11" t="s">
        <v>49</v>
      </c>
      <c r="I36" s="11"/>
      <c r="J36" s="11"/>
    </row>
    <row r="37" spans="1:14">
      <c r="A37" s="11"/>
      <c r="B37" s="11"/>
      <c r="C37" s="11"/>
      <c r="D37" s="11"/>
      <c r="E37" s="11"/>
      <c r="F37" s="11"/>
      <c r="G37" s="11"/>
      <c r="H37" s="11"/>
      <c r="I37" s="11"/>
      <c r="J37" s="11"/>
    </row>
    <row r="38" spans="1:14">
      <c r="A38" s="11"/>
      <c r="B38" s="11"/>
      <c r="C38" s="11"/>
      <c r="D38" s="11"/>
      <c r="E38" s="11"/>
      <c r="F38" s="11"/>
      <c r="G38" s="11"/>
      <c r="H38" s="11"/>
      <c r="I38" s="11"/>
      <c r="J38" s="11"/>
    </row>
    <row r="39" spans="1:14" ht="15.75">
      <c r="A39" s="11"/>
      <c r="B39" s="11"/>
      <c r="C39" s="11"/>
      <c r="D39" s="11">
        <f>(G36*10*D35^3*1000000*G33)/(2040000*G35)</f>
        <v>0.32858469247693944</v>
      </c>
      <c r="E39" s="11" t="s">
        <v>41</v>
      </c>
      <c r="F39" s="11"/>
      <c r="G39" s="11">
        <f>D35*100/360</f>
        <v>1.5916666666666666</v>
      </c>
      <c r="H39" s="11" t="s">
        <v>41</v>
      </c>
      <c r="I39" s="18" t="str">
        <f>IF(D39&lt;=G39,"ok","Not OK")</f>
        <v>ok</v>
      </c>
      <c r="J39" s="11"/>
    </row>
    <row r="40" spans="1:14" s="9" customFormat="1">
      <c r="A40" s="11"/>
      <c r="B40" s="11"/>
      <c r="C40" s="11"/>
      <c r="D40" s="11"/>
      <c r="E40" s="11"/>
      <c r="F40" s="11"/>
      <c r="G40" s="11"/>
      <c r="H40" s="11"/>
      <c r="I40" s="11"/>
      <c r="J40" s="11"/>
    </row>
    <row r="41" spans="1:14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4" ht="15.75">
      <c r="A42" s="11"/>
      <c r="B42" s="11"/>
      <c r="C42" s="11"/>
      <c r="D42" s="11">
        <f>(D39*10*D35^3*1000000*G33)/(2040000*G35)</f>
        <v>0.14021805211709726</v>
      </c>
      <c r="E42" s="11" t="s">
        <v>41</v>
      </c>
      <c r="F42" s="11"/>
      <c r="G42" s="11">
        <f>D35*100/240</f>
        <v>2.3875000000000002</v>
      </c>
      <c r="H42" s="11" t="s">
        <v>41</v>
      </c>
      <c r="I42" s="18" t="str">
        <f t="shared" ref="I42" si="0">IF(D42&lt;=G42,"ok","Not OK")</f>
        <v>ok</v>
      </c>
      <c r="J42" s="11"/>
    </row>
    <row r="43" spans="1:14">
      <c r="A43" s="11"/>
      <c r="B43" s="11"/>
      <c r="C43" s="11"/>
      <c r="D43" s="11"/>
      <c r="E43" s="11"/>
      <c r="F43" s="11"/>
      <c r="G43" s="11"/>
      <c r="H43" s="11"/>
      <c r="I43" s="11"/>
      <c r="J43" s="11"/>
    </row>
  </sheetData>
  <sheetProtection sheet="1" objects="1" scenarios="1"/>
  <mergeCells count="6">
    <mergeCell ref="A1:J6"/>
    <mergeCell ref="B33:C33"/>
    <mergeCell ref="D33:E33"/>
    <mergeCell ref="H18:J19"/>
    <mergeCell ref="H27:J28"/>
    <mergeCell ref="C20:D22"/>
  </mergeCells>
  <conditionalFormatting sqref="G24">
    <cfRule type="expression" dxfId="33" priority="8">
      <formula>$E$24&gt;$H$21</formula>
    </cfRule>
    <cfRule type="expression" dxfId="32" priority="9">
      <formula>$E$24&lt;+$H$21</formula>
    </cfRule>
  </conditionalFormatting>
  <conditionalFormatting sqref="I39">
    <cfRule type="expression" dxfId="31" priority="5">
      <formula>$D$39&gt;$G$39</formula>
    </cfRule>
    <cfRule type="expression" dxfId="30" priority="6">
      <formula>$D$39&lt;=$G$39</formula>
    </cfRule>
    <cfRule type="expression" dxfId="29" priority="7">
      <formula>"$D$36&lt;=$G$36"</formula>
    </cfRule>
  </conditionalFormatting>
  <conditionalFormatting sqref="I42">
    <cfRule type="expression" dxfId="28" priority="3">
      <formula>$D$42&gt;$G$42</formula>
    </cfRule>
    <cfRule type="expression" dxfId="27" priority="4">
      <formula>$D$42&lt;=$G$42</formula>
    </cfRule>
  </conditionalFormatting>
  <conditionalFormatting sqref="H17">
    <cfRule type="expression" dxfId="26" priority="1">
      <formula>$E$17&gt;=1</formula>
    </cfRule>
    <cfRule type="expression" dxfId="25" priority="2">
      <formula>$E$17&lt;=1</formula>
    </cfRule>
  </conditionalFormatting>
  <dataValidations count="5">
    <dataValidation type="list" allowBlank="1" showInputMessage="1" showErrorMessage="1" sqref="C7">
      <formula1>"B5,B12,B21"</formula1>
    </dataValidation>
    <dataValidation type="list" allowBlank="1" showInputMessage="1" showErrorMessage="1" sqref="F7">
      <formula1>"1,2,3,4,5,6,7,8"</formula1>
    </dataValidation>
    <dataValidation type="list" allowBlank="1" showInputMessage="1" showErrorMessage="1" sqref="D15">
      <formula1>"IPE,USER"</formula1>
    </dataValidation>
    <dataValidation type="list" allowBlank="1" showInputMessage="1" showErrorMessage="1" sqref="E15">
      <formula1>"120,140,160,180,200,240,270,300"</formula1>
    </dataValidation>
    <dataValidation type="list" allowBlank="1" showInputMessage="1" showErrorMessage="1" sqref="D33:E33">
      <formula1>"دوسر گیردار,دوسر مفصل,طره ای"</formula1>
    </dataValidation>
  </dataValidations>
  <pageMargins left="0.7" right="0.7" top="0.75" bottom="0.75" header="0.3" footer="0.3"/>
  <pageSetup orientation="portrait" horizontalDpi="300" verticalDpi="0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B2" sqref="B2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53"/>
  <sheetViews>
    <sheetView topLeftCell="A25" workbookViewId="0">
      <selection activeCell="F15" sqref="F15"/>
    </sheetView>
  </sheetViews>
  <sheetFormatPr defaultRowHeight="15"/>
  <cols>
    <col min="3" max="3" width="9.140625" style="9"/>
    <col min="4" max="4" width="10.140625" style="9" customWidth="1"/>
    <col min="6" max="6" width="9.7109375" bestFit="1" customWidth="1"/>
    <col min="7" max="7" width="10.7109375" customWidth="1"/>
  </cols>
  <sheetData>
    <row r="1" spans="1:25">
      <c r="A1" s="104" t="s">
        <v>92</v>
      </c>
      <c r="B1" s="96"/>
      <c r="C1" s="96"/>
      <c r="D1" s="96"/>
      <c r="E1" s="96"/>
      <c r="F1" s="96"/>
      <c r="G1" s="96"/>
      <c r="H1" s="96"/>
      <c r="I1" s="96"/>
      <c r="J1" s="96"/>
    </row>
    <row r="2" spans="1:25" s="9" customFormat="1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25" s="9" customFormat="1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25" s="9" customFormat="1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25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25" ht="42.75" customHeight="1">
      <c r="A6" s="11"/>
      <c r="B6" s="11"/>
      <c r="C6" s="12" t="s">
        <v>43</v>
      </c>
      <c r="D6" s="61" t="s">
        <v>96</v>
      </c>
      <c r="E6" s="11"/>
      <c r="F6" s="12" t="s">
        <v>44</v>
      </c>
      <c r="G6" s="61">
        <v>5</v>
      </c>
      <c r="H6" s="11"/>
      <c r="I6" s="11"/>
      <c r="J6" s="11"/>
    </row>
    <row r="7" spans="1:25">
      <c r="A7" s="11"/>
      <c r="B7" s="11"/>
      <c r="C7" s="11"/>
      <c r="D7" s="13"/>
      <c r="E7" s="13"/>
      <c r="F7" s="11"/>
      <c r="G7" s="11"/>
      <c r="H7" s="11"/>
      <c r="I7" s="11"/>
      <c r="J7" s="11"/>
    </row>
    <row r="8" spans="1:25" s="9" customFormat="1" ht="15.75">
      <c r="A8" s="11"/>
      <c r="B8" s="11"/>
      <c r="C8" s="14" t="s">
        <v>46</v>
      </c>
      <c r="D8" s="57">
        <v>9.1199999999999992</v>
      </c>
      <c r="E8" s="13" t="s">
        <v>94</v>
      </c>
      <c r="F8" s="14" t="s">
        <v>65</v>
      </c>
      <c r="G8" s="57">
        <v>1.5</v>
      </c>
      <c r="H8" s="11"/>
      <c r="I8" s="11"/>
      <c r="J8" s="11"/>
    </row>
    <row r="9" spans="1:25" s="9" customFormat="1" ht="15.75">
      <c r="A9" s="11"/>
      <c r="B9" s="11"/>
      <c r="C9" s="14" t="s">
        <v>35</v>
      </c>
      <c r="D9" s="57">
        <v>24.42</v>
      </c>
      <c r="E9" s="11" t="s">
        <v>93</v>
      </c>
      <c r="F9" s="14" t="s">
        <v>66</v>
      </c>
      <c r="G9" s="57">
        <v>1</v>
      </c>
      <c r="H9" s="11"/>
      <c r="I9" s="11"/>
      <c r="J9" s="11"/>
    </row>
    <row r="10" spans="1:25" s="9" customFormat="1">
      <c r="A10" s="11"/>
      <c r="B10" s="11"/>
      <c r="C10" s="11"/>
      <c r="D10" s="13"/>
      <c r="E10" s="13"/>
      <c r="F10" s="11"/>
      <c r="G10" s="11"/>
      <c r="H10" s="11"/>
      <c r="I10" s="11"/>
      <c r="J10" s="11"/>
    </row>
    <row r="11" spans="1:25">
      <c r="A11" s="11"/>
      <c r="B11" s="11"/>
      <c r="C11" s="11"/>
      <c r="D11" s="60" t="s">
        <v>67</v>
      </c>
      <c r="E11" s="105" t="s">
        <v>74</v>
      </c>
      <c r="F11" s="105"/>
      <c r="G11" s="105"/>
      <c r="H11" s="11"/>
      <c r="I11" s="11"/>
      <c r="J11" s="11"/>
    </row>
    <row r="12" spans="1:25">
      <c r="A12" s="11"/>
      <c r="B12" s="11"/>
      <c r="C12" s="11"/>
      <c r="D12" s="11"/>
      <c r="E12" s="11"/>
      <c r="F12" s="11"/>
      <c r="G12" s="11"/>
      <c r="H12" s="11"/>
      <c r="I12" s="11"/>
      <c r="J12" s="11"/>
      <c r="Y12">
        <f>MAX(C14,F14)</f>
        <v>37.006578947368418</v>
      </c>
    </row>
    <row r="13" spans="1:25" ht="18.75">
      <c r="A13" s="11"/>
      <c r="B13" s="11"/>
      <c r="C13" s="11"/>
      <c r="D13" s="11"/>
      <c r="E13" s="11"/>
      <c r="F13" s="11"/>
      <c r="G13" s="17"/>
      <c r="H13" s="18"/>
      <c r="I13" s="11"/>
      <c r="J13" s="11"/>
    </row>
    <row r="14" spans="1:25">
      <c r="A14" s="11"/>
      <c r="B14" s="11"/>
      <c r="C14" s="15">
        <f>(G8*C29)/VLOOKUP(E11,IF(D11="IPE",IPE[],Table5[]),11,FALSE)</f>
        <v>37.006578947368418</v>
      </c>
      <c r="D14" s="11"/>
      <c r="E14" s="11"/>
      <c r="F14" s="15">
        <f>(G9*C29)/VLOOKUP(E11,IF(D11="IPE",IPE[],Table5[]),14,FALSE)</f>
        <v>24.671052631578949</v>
      </c>
      <c r="G14" s="11"/>
      <c r="H14" s="11"/>
      <c r="I14" s="11"/>
      <c r="J14" s="11"/>
    </row>
    <row r="15" spans="1:25" ht="21">
      <c r="A15" s="11"/>
      <c r="B15" s="11"/>
      <c r="C15" s="11"/>
      <c r="D15" s="11"/>
      <c r="E15" s="11"/>
      <c r="F15" s="11"/>
      <c r="G15" s="19"/>
      <c r="H15" s="20"/>
      <c r="I15" s="11"/>
      <c r="J15" s="11"/>
      <c r="K15" s="55"/>
    </row>
    <row r="16" spans="1:25">
      <c r="A16" s="11"/>
      <c r="B16" s="11"/>
      <c r="C16" s="11"/>
      <c r="D16" s="11">
        <f>SQRT((2*PI()^2*2040000)/2400)</f>
        <v>129.5311834341519</v>
      </c>
      <c r="E16" s="11"/>
      <c r="F16" s="11"/>
      <c r="G16" s="11"/>
      <c r="H16" s="11"/>
      <c r="I16" s="11"/>
      <c r="J16" s="11"/>
    </row>
    <row r="17" spans="1:10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spans="1:10">
      <c r="A18" s="11"/>
      <c r="B18" s="11"/>
      <c r="C18" s="11"/>
      <c r="D18" s="11"/>
      <c r="E18" s="11"/>
      <c r="F18" s="11"/>
      <c r="G18" s="11"/>
      <c r="H18" s="11"/>
      <c r="I18" s="11"/>
      <c r="J18" s="11"/>
    </row>
    <row r="19" spans="1:10">
      <c r="A19" s="11"/>
      <c r="B19" s="11"/>
      <c r="C19" s="11"/>
      <c r="D19" s="11"/>
      <c r="E19" s="11"/>
      <c r="F19" s="11"/>
      <c r="G19" s="11"/>
      <c r="H19" s="11"/>
      <c r="I19" s="11"/>
      <c r="J19" s="11"/>
    </row>
    <row r="20" spans="1:10">
      <c r="A20" s="11"/>
      <c r="B20" s="11"/>
      <c r="C20" s="11"/>
      <c r="D20" s="11"/>
      <c r="E20" s="11"/>
      <c r="F20" s="11"/>
      <c r="G20" s="11">
        <f>IF(Y12&lt;D16,(5/3)+((3/8)*(Y12/D16))-((1/8)*(Y12/D16)^3),23/12)</f>
        <v>1.7708878754420914</v>
      </c>
      <c r="H20" s="11"/>
      <c r="I20" s="11"/>
      <c r="J20" s="11"/>
    </row>
    <row r="21" spans="1:10">
      <c r="A21" s="11"/>
      <c r="B21" s="11"/>
      <c r="C21" s="11"/>
      <c r="D21" s="11"/>
      <c r="E21" s="11"/>
      <c r="F21" s="11"/>
      <c r="G21" s="11"/>
      <c r="H21" s="11"/>
      <c r="I21" s="11"/>
      <c r="J21" s="11"/>
    </row>
    <row r="22" spans="1:10">
      <c r="A22" s="11"/>
      <c r="B22" s="11"/>
      <c r="C22" s="11"/>
      <c r="D22" s="11"/>
      <c r="E22" s="11"/>
      <c r="F22" s="11"/>
      <c r="G22" s="11"/>
      <c r="H22" s="11"/>
      <c r="I22" s="11"/>
      <c r="J22" s="11"/>
    </row>
    <row r="23" spans="1:10" ht="21">
      <c r="A23" s="11"/>
      <c r="B23" s="11"/>
      <c r="C23" s="11"/>
      <c r="D23" s="18">
        <f>(D9*1000)/VLOOKUP(E11,IF(D11="IPE",IPE[],Table5[]),8,FALSE)</f>
        <v>221.67755991285404</v>
      </c>
      <c r="E23" s="19"/>
      <c r="F23" s="11"/>
      <c r="G23" s="18">
        <f>IF(Y12&lt;=D16,(2400-(1200*((Y12/D16)^2)))/G20,((12*PI()^2*2040000)/(23*Y12^2)))</f>
        <v>1299.9429188363024</v>
      </c>
      <c r="H23" s="11"/>
      <c r="I23" s="11"/>
      <c r="J23" s="11"/>
    </row>
    <row r="24" spans="1:10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spans="1:10" ht="21">
      <c r="A25" s="11"/>
      <c r="B25" s="19"/>
      <c r="C25" s="11"/>
      <c r="D25" s="11"/>
      <c r="E25" s="11"/>
      <c r="F25" s="11"/>
      <c r="G25" s="11"/>
      <c r="H25" s="11"/>
      <c r="I25" s="11"/>
      <c r="J25" s="11"/>
    </row>
    <row r="26" spans="1:10">
      <c r="A26" s="11"/>
      <c r="B26" s="11"/>
      <c r="C26" s="11"/>
      <c r="D26" s="11"/>
      <c r="E26" s="11">
        <f>(D8*100000)/VLOOKUP(E11,IF(D11="IPE",IPE[],Table5[]),10,FALSE)</f>
        <v>839.77900552486176</v>
      </c>
      <c r="F26" s="11" t="s">
        <v>53</v>
      </c>
      <c r="G26" s="11"/>
      <c r="H26" s="11"/>
      <c r="I26" s="11"/>
      <c r="J26" s="11"/>
    </row>
    <row r="27" spans="1:10">
      <c r="A27" s="11"/>
      <c r="B27" s="11"/>
      <c r="C27" s="11"/>
      <c r="D27" s="11"/>
      <c r="E27" s="11"/>
      <c r="F27" s="11"/>
      <c r="G27" s="11"/>
      <c r="H27" s="11"/>
      <c r="I27" s="11"/>
      <c r="J27" s="11"/>
    </row>
    <row r="28" spans="1:10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spans="1:10" ht="15.75">
      <c r="A29" s="11"/>
      <c r="B29" s="11"/>
      <c r="C29" s="62">
        <v>300</v>
      </c>
      <c r="D29" s="11"/>
      <c r="E29" s="11"/>
      <c r="F29" s="11"/>
      <c r="G29" s="11"/>
      <c r="H29" s="11"/>
      <c r="I29" s="15">
        <f>MAX(((53*VLOOKUP(E11,IF(D11="IPE",IPE[],Table5[]),3,FALSE)*100)/2400),((84*1000*VLOOKUP(E11,IF(D11="IPE",IPE[],Table5[]),3,FALSE))/24000))</f>
        <v>1050</v>
      </c>
      <c r="J29" s="11"/>
    </row>
    <row r="30" spans="1:10">
      <c r="A30" s="11"/>
      <c r="B30" s="11"/>
      <c r="C30" s="11"/>
      <c r="D30" s="11"/>
      <c r="E30" s="11"/>
      <c r="F30" s="11"/>
      <c r="G30" s="11"/>
      <c r="H30" s="11"/>
      <c r="I30" s="11"/>
      <c r="J30" s="11"/>
    </row>
    <row r="31" spans="1:10">
      <c r="A31" s="11"/>
      <c r="B31" s="11"/>
      <c r="C31" s="11"/>
      <c r="D31" s="11"/>
      <c r="E31" s="11"/>
      <c r="F31" s="11"/>
      <c r="G31" s="11"/>
      <c r="H31" s="11"/>
      <c r="I31" s="11"/>
      <c r="J31" s="11"/>
    </row>
    <row r="32" spans="1:10" ht="15.75">
      <c r="A32" s="11"/>
      <c r="B32" s="11"/>
      <c r="C32" s="11"/>
      <c r="D32" s="11"/>
      <c r="E32" s="11"/>
      <c r="F32" s="21">
        <v>0.6</v>
      </c>
      <c r="G32" s="11"/>
      <c r="H32" s="11"/>
      <c r="I32" s="11"/>
      <c r="J32" s="11"/>
    </row>
    <row r="33" spans="1:10">
      <c r="A33" s="11"/>
      <c r="B33" s="11"/>
      <c r="C33" s="11"/>
      <c r="D33" s="11"/>
      <c r="E33" s="11"/>
      <c r="F33" s="11"/>
      <c r="G33" s="11"/>
      <c r="H33" s="11"/>
      <c r="I33" s="11"/>
      <c r="J33" s="11"/>
    </row>
    <row r="34" spans="1:10">
      <c r="A34" s="11"/>
      <c r="B34" s="11"/>
      <c r="C34" s="11"/>
      <c r="D34" s="11"/>
      <c r="E34" s="11"/>
      <c r="F34" s="11"/>
      <c r="G34" s="11"/>
      <c r="H34" s="11"/>
      <c r="I34" s="11"/>
      <c r="J34" s="11"/>
    </row>
    <row r="35" spans="1:10">
      <c r="A35" s="11"/>
      <c r="B35" s="11"/>
      <c r="C35" s="11"/>
      <c r="D35" s="11"/>
      <c r="E35" s="11">
        <f>(12*PI()^2*2040000)/(23*(F14)^2)</f>
        <v>17258.695374612322</v>
      </c>
      <c r="F35" s="11"/>
      <c r="G35" s="11"/>
      <c r="H35" s="11"/>
      <c r="I35" s="11"/>
      <c r="J35" s="11"/>
    </row>
    <row r="36" spans="1:10">
      <c r="A36" s="11"/>
      <c r="B36" s="11"/>
      <c r="C36" s="11"/>
      <c r="D36" s="11"/>
      <c r="E36" s="11"/>
      <c r="F36" s="11"/>
      <c r="G36" s="11"/>
      <c r="H36" s="11"/>
      <c r="I36" s="11"/>
      <c r="J36" s="11"/>
    </row>
    <row r="37" spans="1:10">
      <c r="A37" s="11"/>
      <c r="B37" s="11"/>
      <c r="C37" s="11"/>
      <c r="D37" s="11"/>
      <c r="E37" s="11"/>
      <c r="F37" s="11"/>
      <c r="G37" s="11"/>
      <c r="H37" s="11"/>
      <c r="I37" s="11"/>
      <c r="J37" s="11"/>
    </row>
    <row r="38" spans="1:10">
      <c r="A38" s="11"/>
      <c r="B38" s="11"/>
      <c r="C38" s="11"/>
      <c r="D38" s="11"/>
      <c r="E38" s="11"/>
      <c r="F38" s="11"/>
      <c r="G38" s="11"/>
      <c r="H38" s="11"/>
      <c r="I38" s="11"/>
      <c r="J38" s="11"/>
    </row>
    <row r="39" spans="1:10">
      <c r="A39" s="11"/>
      <c r="B39" s="11"/>
      <c r="C39" s="11"/>
      <c r="D39" s="11"/>
      <c r="E39" s="22">
        <f>IF(C29&lt;=I29,0.66*2400,0.6*2400)</f>
        <v>1584</v>
      </c>
      <c r="F39" s="11" t="s">
        <v>53</v>
      </c>
      <c r="G39" s="11"/>
      <c r="H39" s="11"/>
      <c r="I39" s="11"/>
      <c r="J39" s="11"/>
    </row>
    <row r="40" spans="1:10" s="9" customFormat="1">
      <c r="A40" s="11"/>
      <c r="B40" s="11"/>
      <c r="C40" s="11"/>
      <c r="D40" s="11"/>
      <c r="E40" s="22"/>
      <c r="F40" s="11"/>
      <c r="G40" s="11"/>
      <c r="H40" s="11"/>
      <c r="I40" s="11"/>
      <c r="J40" s="11"/>
    </row>
    <row r="41" spans="1:10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0">
      <c r="A42" s="11"/>
      <c r="B42" s="11"/>
      <c r="C42" s="11"/>
      <c r="D42" s="11"/>
      <c r="E42" s="11"/>
      <c r="F42" s="11"/>
      <c r="G42" s="11"/>
      <c r="H42" s="11"/>
      <c r="I42" s="11"/>
      <c r="J42" s="11"/>
    </row>
    <row r="43" spans="1:10" ht="18.75" customHeight="1">
      <c r="A43" s="11"/>
      <c r="B43" s="11"/>
      <c r="C43" s="11"/>
      <c r="D43" s="11"/>
      <c r="E43" s="11"/>
      <c r="F43" s="106" t="str">
        <f>IF((D23/G23)&lt;=0.15,(D23/G23)+(E26/E39),"رابطه صحیح نیست")</f>
        <v>رابطه صحیح نیست</v>
      </c>
      <c r="G43" s="106"/>
      <c r="H43" s="106"/>
      <c r="I43" s="23" t="str">
        <f>IF(F43&lt;=1,"ok","not ok")</f>
        <v>not ok</v>
      </c>
      <c r="J43" s="11"/>
    </row>
    <row r="44" spans="1:10">
      <c r="A44" s="11"/>
      <c r="B44" s="11"/>
      <c r="C44" s="11"/>
      <c r="D44" s="11"/>
      <c r="E44" s="11"/>
      <c r="F44" s="106"/>
      <c r="G44" s="106"/>
      <c r="H44" s="106"/>
      <c r="I44" s="11"/>
      <c r="J44" s="11"/>
    </row>
    <row r="45" spans="1:10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0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0">
      <c r="A47" s="11"/>
      <c r="B47" s="11"/>
      <c r="C47" s="11"/>
      <c r="D47" s="11"/>
      <c r="E47" s="11"/>
      <c r="F47" s="11"/>
      <c r="G47" s="11">
        <f>IF((D23/G23)&gt;0.15,(D23/(0.6*2400))+(E26/E39),"")</f>
        <v>0.68410626352840986</v>
      </c>
      <c r="H47" s="11"/>
      <c r="I47" s="22" t="str">
        <f>IF(G47&lt;=1,"ok","not ok")</f>
        <v>ok</v>
      </c>
      <c r="J47" s="11"/>
    </row>
    <row r="48" spans="1:10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0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0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10">
      <c r="A51" s="11"/>
      <c r="B51" s="11"/>
      <c r="C51" s="11"/>
      <c r="D51" s="11"/>
      <c r="E51" s="11"/>
      <c r="F51" s="11"/>
      <c r="G51" s="11">
        <f>IF((D23/G23)&gt;0.15,(D23/G23)+((E26*F32)/(E39-((E39*D23)/E35))),"")</f>
        <v>0.49276573681161173</v>
      </c>
      <c r="H51" s="11"/>
      <c r="I51" s="22" t="str">
        <f>IF(G51&lt;=1,"ok","not ok")</f>
        <v>ok</v>
      </c>
      <c r="J51" s="11"/>
    </row>
    <row r="52" spans="1:10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mergeCells count="3">
    <mergeCell ref="A1:J5"/>
    <mergeCell ref="E11:G11"/>
    <mergeCell ref="F43:H44"/>
  </mergeCells>
  <conditionalFormatting sqref="I47">
    <cfRule type="expression" dxfId="24" priority="3">
      <formula>$G$47&gt;1</formula>
    </cfRule>
    <cfRule type="expression" dxfId="23" priority="4">
      <formula>$G$51&lt;=1</formula>
    </cfRule>
  </conditionalFormatting>
  <conditionalFormatting sqref="I51">
    <cfRule type="expression" dxfId="22" priority="1">
      <formula>$G$51&gt;1</formula>
    </cfRule>
    <cfRule type="expression" dxfId="21" priority="2">
      <formula>$G$51&lt;=1</formula>
    </cfRule>
  </conditionalFormatting>
  <conditionalFormatting sqref="I43">
    <cfRule type="expression" dxfId="20" priority="7">
      <formula>$F$43&gt;1</formula>
    </cfRule>
    <cfRule type="expression" dxfId="19" priority="8">
      <formula>$F$43&lt;1</formula>
    </cfRule>
  </conditionalFormatting>
  <dataValidations count="4">
    <dataValidation type="list" allowBlank="1" showInputMessage="1" showErrorMessage="1" sqref="D6">
      <formula1>"c2,c6,c10,c14"</formula1>
    </dataValidation>
    <dataValidation type="list" allowBlank="1" showInputMessage="1" showErrorMessage="1" sqref="G6">
      <formula1>"1,2,3,4,5,6,7,8"</formula1>
    </dataValidation>
    <dataValidation type="list" allowBlank="1" showInputMessage="1" showErrorMessage="1" sqref="E11:G11">
      <formula1>"4L60+4P 150X15,4L60+4P 150X10,4L60+4P 150X5,4L120+4P 300X20,4L120+4P 300X15,4L120+4P 300X10,4L120+4P 200X5,4L120"</formula1>
    </dataValidation>
    <dataValidation type="list" allowBlank="1" showInputMessage="1" showErrorMessage="1" sqref="D11">
      <formula1>"IPE,USER"</formula1>
    </dataValidation>
  </dataValidations>
  <pageMargins left="0.7" right="0.7" top="0.75" bottom="0.75" header="0.3" footer="0.3"/>
  <pageSetup orientation="portrait" horizontalDpi="300" verticalDpi="0" copies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N80"/>
  <sheetViews>
    <sheetView topLeftCell="A73" workbookViewId="0">
      <selection activeCell="C15" sqref="C15"/>
    </sheetView>
  </sheetViews>
  <sheetFormatPr defaultRowHeight="15"/>
  <cols>
    <col min="8" max="8" width="9.42578125" customWidth="1"/>
    <col min="11" max="11" width="10.5703125" customWidth="1"/>
  </cols>
  <sheetData>
    <row r="1" spans="1:13">
      <c r="A1" s="104" t="s">
        <v>95</v>
      </c>
      <c r="B1" s="96"/>
      <c r="C1" s="96"/>
      <c r="D1" s="96"/>
      <c r="E1" s="96"/>
      <c r="F1" s="96"/>
      <c r="G1" s="96"/>
      <c r="H1" s="96"/>
      <c r="I1" s="96"/>
      <c r="J1" s="96"/>
      <c r="K1" s="11"/>
      <c r="L1" s="11"/>
    </row>
    <row r="2" spans="1:13">
      <c r="A2" s="96"/>
      <c r="B2" s="96"/>
      <c r="C2" s="96"/>
      <c r="D2" s="96"/>
      <c r="E2" s="96"/>
      <c r="F2" s="96"/>
      <c r="G2" s="96"/>
      <c r="H2" s="96"/>
      <c r="I2" s="96"/>
      <c r="J2" s="96"/>
      <c r="K2" s="11"/>
      <c r="L2" s="11"/>
    </row>
    <row r="3" spans="1:13" s="9" customFormat="1">
      <c r="A3" s="96"/>
      <c r="B3" s="96"/>
      <c r="C3" s="96"/>
      <c r="D3" s="96"/>
      <c r="E3" s="96"/>
      <c r="F3" s="96"/>
      <c r="G3" s="96"/>
      <c r="H3" s="96"/>
      <c r="I3" s="96"/>
      <c r="J3" s="96"/>
      <c r="K3" s="11"/>
      <c r="L3" s="11"/>
    </row>
    <row r="4" spans="1:13" s="9" customFormat="1">
      <c r="A4" s="96"/>
      <c r="B4" s="96"/>
      <c r="C4" s="96"/>
      <c r="D4" s="96"/>
      <c r="E4" s="96"/>
      <c r="F4" s="96"/>
      <c r="G4" s="96"/>
      <c r="H4" s="96"/>
      <c r="I4" s="96"/>
      <c r="J4" s="96"/>
      <c r="K4" s="11"/>
      <c r="L4" s="11"/>
    </row>
    <row r="5" spans="1:13" s="9" customFormat="1">
      <c r="A5" s="96"/>
      <c r="B5" s="96"/>
      <c r="C5" s="96"/>
      <c r="D5" s="96"/>
      <c r="E5" s="96"/>
      <c r="F5" s="96"/>
      <c r="G5" s="96"/>
      <c r="H5" s="96"/>
      <c r="I5" s="96"/>
      <c r="J5" s="96"/>
      <c r="K5" s="11"/>
      <c r="L5" s="11"/>
    </row>
    <row r="6" spans="1:13">
      <c r="A6" s="96"/>
      <c r="B6" s="96"/>
      <c r="C6" s="96"/>
      <c r="D6" s="96"/>
      <c r="E6" s="96"/>
      <c r="F6" s="96"/>
      <c r="G6" s="96"/>
      <c r="H6" s="96"/>
      <c r="I6" s="96"/>
      <c r="J6" s="96"/>
      <c r="K6" s="11"/>
      <c r="L6" s="11"/>
    </row>
    <row r="7" spans="1:13" ht="53.25">
      <c r="A7" s="11"/>
      <c r="B7" s="11"/>
      <c r="C7" s="24" t="s">
        <v>43</v>
      </c>
      <c r="D7" s="63" t="s">
        <v>96</v>
      </c>
      <c r="E7" s="13"/>
      <c r="F7" s="24" t="s">
        <v>44</v>
      </c>
      <c r="G7" s="63">
        <v>8</v>
      </c>
      <c r="H7" s="11"/>
      <c r="I7" s="11"/>
      <c r="J7" s="11"/>
      <c r="K7" s="11"/>
      <c r="L7" s="11"/>
    </row>
    <row r="8" spans="1:13">
      <c r="A8" s="11"/>
      <c r="B8" s="11"/>
      <c r="C8" s="11"/>
      <c r="D8" s="13"/>
      <c r="E8" s="13"/>
      <c r="F8" s="11"/>
      <c r="G8" s="11"/>
      <c r="H8" s="11"/>
      <c r="I8" s="11"/>
      <c r="J8" s="11"/>
      <c r="K8" s="11"/>
      <c r="L8" s="11"/>
    </row>
    <row r="9" spans="1:13">
      <c r="A9" s="11"/>
      <c r="C9" s="16" t="s">
        <v>46</v>
      </c>
      <c r="D9" s="57">
        <v>2.52</v>
      </c>
      <c r="E9" s="13" t="s">
        <v>94</v>
      </c>
      <c r="F9" s="16" t="s">
        <v>65</v>
      </c>
      <c r="G9" s="57">
        <v>1.5</v>
      </c>
      <c r="I9" s="11"/>
      <c r="J9" s="11"/>
      <c r="K9" s="11"/>
      <c r="L9" s="11"/>
    </row>
    <row r="10" spans="1:13">
      <c r="A10" s="11"/>
      <c r="B10" s="11"/>
      <c r="C10" s="16" t="s">
        <v>35</v>
      </c>
      <c r="D10" s="57">
        <v>6.74</v>
      </c>
      <c r="E10" s="11" t="s">
        <v>93</v>
      </c>
      <c r="F10" s="16" t="s">
        <v>66</v>
      </c>
      <c r="G10" s="57">
        <v>1</v>
      </c>
      <c r="H10" s="11"/>
      <c r="I10" s="11"/>
      <c r="J10" s="11"/>
      <c r="K10" s="11"/>
      <c r="L10" s="11"/>
    </row>
    <row r="11" spans="1:13">
      <c r="A11" s="11"/>
      <c r="B11" s="11"/>
      <c r="C11" s="11"/>
      <c r="D11" s="13"/>
      <c r="E11" s="13"/>
      <c r="F11" s="11"/>
      <c r="G11" s="11"/>
      <c r="H11" s="11"/>
      <c r="I11" s="11"/>
      <c r="J11" s="11"/>
      <c r="K11" s="11"/>
    </row>
    <row r="12" spans="1:13" ht="15.75">
      <c r="A12" s="11"/>
      <c r="B12" s="11"/>
      <c r="C12" s="11"/>
      <c r="D12" s="25"/>
      <c r="E12" s="57" t="s">
        <v>67</v>
      </c>
      <c r="F12" s="109" t="s">
        <v>74</v>
      </c>
      <c r="G12" s="109"/>
      <c r="H12" s="11"/>
      <c r="I12" s="11"/>
      <c r="J12" s="11"/>
      <c r="L12" s="11"/>
      <c r="M12" s="66" t="s">
        <v>33</v>
      </c>
    </row>
    <row r="13" spans="1:1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spans="1:13" ht="18.75">
      <c r="A14" s="11"/>
      <c r="B14" s="11"/>
      <c r="C14" s="11"/>
      <c r="D14" s="11"/>
      <c r="E14" s="11"/>
      <c r="F14" s="11"/>
      <c r="G14" s="17"/>
      <c r="H14" s="18"/>
      <c r="I14" s="11"/>
      <c r="J14" s="11"/>
      <c r="K14" s="11"/>
      <c r="L14" s="11"/>
    </row>
    <row r="15" spans="1:13">
      <c r="A15" s="11"/>
      <c r="B15" s="11"/>
      <c r="C15" s="15">
        <f>(G9*C56)/VLOOKUP(F12,IF(E12="IPE",IPE[],Table5[]),11,FALSE)</f>
        <v>37.006578947368418</v>
      </c>
      <c r="D15" s="11"/>
      <c r="E15" s="11"/>
      <c r="F15" s="15">
        <f>(G10*C56)/VLOOKUP(F12,IF(E12="IPE",IPE[],Table5[]),14,FALSE)</f>
        <v>24.671052631578949</v>
      </c>
      <c r="G15" s="11"/>
      <c r="H15" s="11"/>
      <c r="I15" s="11"/>
      <c r="J15" s="11"/>
      <c r="K15" s="11"/>
      <c r="L15" s="11"/>
    </row>
    <row r="16" spans="1:13" ht="21">
      <c r="A16" s="11"/>
      <c r="B16" s="11"/>
      <c r="C16" s="11"/>
      <c r="D16" s="11"/>
      <c r="E16" s="11"/>
      <c r="F16" s="11"/>
      <c r="G16" s="19"/>
      <c r="H16" s="20"/>
      <c r="I16" s="11"/>
      <c r="J16" s="11"/>
      <c r="K16" s="11"/>
      <c r="L16" s="11"/>
    </row>
    <row r="17" spans="1:12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>
      <c r="A18" s="11"/>
      <c r="B18" s="11"/>
      <c r="C18" s="11"/>
      <c r="D18" s="11"/>
      <c r="E18" s="15">
        <f>SQRT((2*PI()^2*2040000)/2400)</f>
        <v>129.5311834341519</v>
      </c>
      <c r="F18" s="11"/>
      <c r="G18" s="11"/>
      <c r="H18" s="11"/>
      <c r="I18" s="11"/>
      <c r="J18" s="11"/>
      <c r="K18" s="11"/>
      <c r="L18" s="11"/>
    </row>
    <row r="19" spans="1:1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1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spans="1:1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>
      <c r="A22" s="11"/>
      <c r="B22" s="11"/>
      <c r="C22" s="11"/>
      <c r="D22" s="11"/>
      <c r="E22" s="11"/>
      <c r="F22" s="11"/>
      <c r="G22" s="11">
        <f>IF(Y13&lt;E18,(5/3)+((3/8)*(Y13/E18))-((1/8)*(Y13/E18)^3),23/12)</f>
        <v>1.6666666666666667</v>
      </c>
      <c r="H22" s="11"/>
      <c r="I22" s="11"/>
      <c r="J22" s="11"/>
      <c r="K22" s="11"/>
      <c r="L22" s="11"/>
    </row>
    <row r="23" spans="1:1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 s="9" customForma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12" ht="18.75">
      <c r="A26" s="11"/>
      <c r="B26" s="26" t="s">
        <v>79</v>
      </c>
      <c r="C26" s="54">
        <v>40</v>
      </c>
      <c r="D26" s="11" t="s">
        <v>80</v>
      </c>
      <c r="E26" s="11"/>
      <c r="F26" s="11"/>
      <c r="G26" s="11">
        <f>20*D10</f>
        <v>134.80000000000001</v>
      </c>
      <c r="H26" s="11" t="s">
        <v>40</v>
      </c>
      <c r="I26" s="11"/>
      <c r="J26" s="11"/>
      <c r="K26" s="11"/>
      <c r="L26" s="11"/>
    </row>
    <row r="27" spans="1:12" s="9" customFormat="1" ht="18.75">
      <c r="A27" s="11"/>
      <c r="B27" s="26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s="9" customForma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2" s="9" customFormat="1">
      <c r="A29" s="11"/>
      <c r="B29" s="11"/>
      <c r="C29" s="11"/>
      <c r="D29" s="22">
        <f>(C26*G26)/(2*VLOOKUP(F12,IF(E12="ipe",IPE[],Table5[]),2,FALSE)*0.1)</f>
        <v>89.86666666666666</v>
      </c>
      <c r="E29" s="11" t="s">
        <v>40</v>
      </c>
      <c r="F29" s="11"/>
      <c r="G29" s="11"/>
      <c r="H29" s="22">
        <f>(G26*C26)/4</f>
        <v>1348</v>
      </c>
      <c r="I29" s="11"/>
      <c r="J29" s="11"/>
      <c r="K29" s="11"/>
      <c r="L29" s="11"/>
    </row>
    <row r="30" spans="1:12" s="9" customForma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2" s="9" customFormat="1">
      <c r="A31" s="11"/>
      <c r="B31" s="11"/>
      <c r="C31" s="11"/>
      <c r="D31" s="11"/>
      <c r="E31" s="11"/>
      <c r="F31" s="11"/>
      <c r="G31" s="108" t="s">
        <v>87</v>
      </c>
      <c r="H31" s="108"/>
      <c r="I31" s="108"/>
      <c r="J31" s="108"/>
      <c r="K31" s="11"/>
      <c r="L31" s="11"/>
    </row>
    <row r="32" spans="1:12" s="9" customFormat="1">
      <c r="A32" s="11"/>
      <c r="B32" s="11"/>
      <c r="C32" s="11"/>
      <c r="D32" s="11"/>
      <c r="E32" s="11"/>
      <c r="F32" s="11"/>
      <c r="G32" s="108"/>
      <c r="H32" s="108"/>
      <c r="I32" s="108"/>
      <c r="J32" s="108"/>
      <c r="K32" s="11"/>
      <c r="L32" s="11"/>
    </row>
    <row r="33" spans="1:12" s="9" customFormat="1">
      <c r="A33" s="11"/>
      <c r="B33" s="11"/>
      <c r="C33" s="11"/>
      <c r="D33" s="11"/>
      <c r="E33" s="11"/>
      <c r="F33" s="11"/>
      <c r="G33" s="108"/>
      <c r="H33" s="108"/>
      <c r="I33" s="108"/>
      <c r="J33" s="108"/>
      <c r="K33" s="11"/>
      <c r="L33" s="11"/>
    </row>
    <row r="34" spans="1:12" s="9" customFormat="1" ht="18.75">
      <c r="A34" s="11"/>
      <c r="B34" s="11"/>
      <c r="C34" s="27" t="s">
        <v>81</v>
      </c>
      <c r="D34" s="64">
        <v>1</v>
      </c>
      <c r="E34" s="11" t="s">
        <v>41</v>
      </c>
      <c r="F34" s="11"/>
      <c r="G34" s="27" t="s">
        <v>82</v>
      </c>
      <c r="H34" s="65">
        <v>5</v>
      </c>
      <c r="I34" s="11" t="s">
        <v>41</v>
      </c>
      <c r="J34" s="11"/>
      <c r="K34" s="11"/>
      <c r="L34" s="11"/>
    </row>
    <row r="35" spans="1:12" s="9" customForma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</row>
    <row r="36" spans="1:12" s="9" customFormat="1" ht="18.75">
      <c r="A36" s="11"/>
      <c r="B36" s="11"/>
      <c r="C36" s="11"/>
      <c r="D36" s="11">
        <f>(6*H29)/(D34*H34^2)</f>
        <v>323.52</v>
      </c>
      <c r="E36" s="11"/>
      <c r="F36" s="11"/>
      <c r="G36" s="11">
        <f>0.6*2400</f>
        <v>1440</v>
      </c>
      <c r="H36" s="11" t="s">
        <v>42</v>
      </c>
      <c r="I36" s="28" t="str">
        <f>IF(D36&lt;=G36,"ok","Not ok")</f>
        <v>ok</v>
      </c>
      <c r="J36" s="11"/>
      <c r="K36" s="11"/>
      <c r="L36" s="11"/>
    </row>
    <row r="37" spans="1:12" s="9" customFormat="1" ht="18.75">
      <c r="A37" s="11"/>
      <c r="B37" s="11"/>
      <c r="C37" s="11"/>
      <c r="D37" s="11"/>
      <c r="E37" s="11"/>
      <c r="F37" s="11"/>
      <c r="G37" s="11"/>
      <c r="H37" s="11"/>
      <c r="I37" s="28"/>
      <c r="J37" s="11"/>
      <c r="K37" s="11"/>
      <c r="L37" s="11"/>
    </row>
    <row r="38" spans="1:12" s="9" customFormat="1" ht="18.75">
      <c r="A38" s="11"/>
      <c r="B38" s="11"/>
      <c r="C38" s="11"/>
      <c r="D38" s="11"/>
      <c r="E38" s="11"/>
      <c r="F38" s="11"/>
      <c r="G38" s="11"/>
      <c r="H38" s="11"/>
      <c r="I38" s="28"/>
      <c r="J38" s="11"/>
      <c r="K38" s="11"/>
      <c r="L38" s="11"/>
    </row>
    <row r="39" spans="1:12" s="9" customFormat="1" ht="18.75">
      <c r="A39" s="11"/>
      <c r="B39" s="11"/>
      <c r="C39" s="11"/>
      <c r="D39" s="11">
        <f>(3*D29)/(2*H34*D34)</f>
        <v>26.959999999999997</v>
      </c>
      <c r="E39" s="11"/>
      <c r="F39" s="11"/>
      <c r="G39" s="11">
        <f>0.4*2400</f>
        <v>960</v>
      </c>
      <c r="H39" s="11" t="s">
        <v>42</v>
      </c>
      <c r="I39" s="28" t="str">
        <f t="shared" ref="I39" si="0">IF(D39&lt;=G39,"ok","Not ok")</f>
        <v>ok</v>
      </c>
      <c r="J39" s="11"/>
      <c r="K39" s="11"/>
      <c r="L39" s="11"/>
    </row>
    <row r="40" spans="1:12" s="9" customFormat="1" ht="18.75">
      <c r="A40" s="11"/>
      <c r="B40" s="11"/>
      <c r="C40" s="11"/>
      <c r="D40" s="11"/>
      <c r="E40" s="11"/>
      <c r="F40" s="11"/>
      <c r="G40" s="11"/>
      <c r="H40" s="11"/>
      <c r="I40" s="28"/>
      <c r="J40" s="11"/>
      <c r="K40" s="11"/>
      <c r="L40" s="11"/>
    </row>
    <row r="41" spans="1:12" s="9" customFormat="1" ht="18.75">
      <c r="A41" s="11"/>
      <c r="B41" s="11"/>
      <c r="C41" s="11"/>
      <c r="D41" s="11"/>
      <c r="E41" s="11"/>
      <c r="F41" s="11"/>
      <c r="G41" s="11"/>
      <c r="H41" s="11"/>
      <c r="I41" s="28"/>
      <c r="J41" s="11"/>
      <c r="K41" s="11"/>
      <c r="L41" s="11"/>
    </row>
    <row r="42" spans="1:12" s="9" customFormat="1">
      <c r="A42" s="11"/>
      <c r="B42" s="11"/>
      <c r="C42" s="11"/>
      <c r="D42" s="11">
        <f>C26/(VLOOKUP(M12,IF(E12="ipe",IPE[],Table3[]),14,FALSE))</f>
        <v>17.021276595744681</v>
      </c>
      <c r="E42" s="11"/>
      <c r="F42" s="11"/>
      <c r="G42" s="11"/>
      <c r="H42" s="11"/>
      <c r="I42" s="11">
        <f>SQRT((D42^2)+(MIN(C15,F15)^2))</f>
        <v>29.973066157785464</v>
      </c>
      <c r="J42" s="11"/>
      <c r="K42" s="11"/>
      <c r="L42" s="11"/>
    </row>
    <row r="43" spans="1:12" s="9" customFormat="1" ht="18.75">
      <c r="A43" s="11"/>
      <c r="B43" s="11"/>
      <c r="C43" s="11"/>
      <c r="D43" s="11"/>
      <c r="E43" s="11"/>
      <c r="F43" s="11"/>
      <c r="G43" s="11"/>
      <c r="H43" s="11"/>
      <c r="I43" s="28"/>
      <c r="J43" s="11"/>
      <c r="K43" s="11"/>
      <c r="L43" s="11"/>
    </row>
    <row r="44" spans="1:12" s="9" customFormat="1" ht="18.75">
      <c r="A44" s="11"/>
      <c r="B44" s="11"/>
      <c r="C44" s="11"/>
      <c r="D44" s="11"/>
      <c r="E44" s="11"/>
      <c r="F44" s="11"/>
      <c r="G44" s="11"/>
      <c r="H44" s="11"/>
      <c r="I44" s="28"/>
      <c r="J44" s="11"/>
      <c r="K44" s="11"/>
      <c r="L44" s="11"/>
    </row>
    <row r="45" spans="1:12" s="9" customFormat="1" ht="18.75">
      <c r="A45" s="11"/>
      <c r="B45" s="11"/>
      <c r="C45" s="11">
        <f>D42</f>
        <v>17.021276595744681</v>
      </c>
      <c r="D45" s="11"/>
      <c r="E45" s="11"/>
      <c r="F45" s="11"/>
      <c r="G45" s="11">
        <f>MIN(40,((3*MIN(C15,F15,I42))/4))</f>
        <v>18.503289473684212</v>
      </c>
      <c r="H45" s="11"/>
      <c r="I45" s="28" t="str">
        <f>IF(C45&lt;=G45,"ok","Not ok")</f>
        <v>ok</v>
      </c>
      <c r="J45" s="11"/>
      <c r="K45" s="11"/>
      <c r="L45" s="11"/>
    </row>
    <row r="46" spans="1:12" s="9" customFormat="1" ht="18.75">
      <c r="A46" s="11"/>
      <c r="B46" s="11"/>
      <c r="C46" s="11"/>
      <c r="D46" s="11"/>
      <c r="E46" s="11"/>
      <c r="F46" s="11"/>
      <c r="G46" s="11"/>
      <c r="H46" s="11"/>
      <c r="I46" s="28"/>
      <c r="J46" s="11"/>
      <c r="K46" s="11"/>
      <c r="L46" s="11"/>
    </row>
    <row r="47" spans="1:12" s="9" customFormat="1" ht="18.75">
      <c r="A47" s="11"/>
      <c r="B47" s="11"/>
      <c r="C47" s="11"/>
      <c r="D47" s="11"/>
      <c r="E47" s="11"/>
      <c r="F47" s="11"/>
      <c r="G47" s="11"/>
      <c r="H47" s="11"/>
      <c r="I47" s="28"/>
      <c r="J47" s="11"/>
      <c r="K47" s="11"/>
      <c r="L47" s="11"/>
    </row>
    <row r="48" spans="1:12" s="9" customFormat="1" ht="21">
      <c r="A48" s="11"/>
      <c r="B48" s="11"/>
      <c r="C48" s="29">
        <f>D34</f>
        <v>1</v>
      </c>
      <c r="D48" s="30">
        <f>VLOOKUP(F12,IF(E12="IPE",IPE[],Table5[]),2,FALSE)/400</f>
        <v>0.75</v>
      </c>
      <c r="E48" s="11"/>
      <c r="F48" s="28" t="str">
        <f>IF(C48&lt;=D48,"Not ok","ok")</f>
        <v>ok</v>
      </c>
      <c r="G48" s="11"/>
      <c r="H48" s="11"/>
      <c r="I48" s="11"/>
      <c r="J48" s="11"/>
      <c r="K48" s="11"/>
      <c r="L48" s="11"/>
    </row>
    <row r="49" spans="1:12" s="9" customForma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</row>
    <row r="50" spans="1:12" ht="21">
      <c r="A50" s="11"/>
      <c r="B50" s="19"/>
      <c r="C50" s="11"/>
      <c r="D50" s="18">
        <f>(D10*1000)/VLOOKUP(F12,IF(E12="IPE",IPE[],Table5[]),8,FALSE)</f>
        <v>61.183732752360207</v>
      </c>
      <c r="E50" s="19"/>
      <c r="F50" s="11"/>
      <c r="G50" s="18">
        <f>IF(I42&lt;=E18,(2400-(1200*((I42/E18)^2)))/G22,((12*PI()^2*2040000)/(23*I42^2)))</f>
        <v>1401.4480656056503</v>
      </c>
      <c r="H50" s="11"/>
      <c r="I50" s="11"/>
      <c r="J50" s="11"/>
      <c r="K50" s="11"/>
      <c r="L50" s="11"/>
    </row>
    <row r="51" spans="1:1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1:1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1:12">
      <c r="A53" s="11"/>
      <c r="B53" s="11"/>
      <c r="C53" s="11"/>
      <c r="D53" s="11"/>
      <c r="E53" s="11"/>
      <c r="F53" s="22">
        <f>(D9*100000)/VLOOKUP(F12,IF(E12="IPE",IPE[],Table5[]),10,FALSE)</f>
        <v>232.04419889502762</v>
      </c>
      <c r="G53" s="11" t="s">
        <v>53</v>
      </c>
      <c r="H53" s="11"/>
      <c r="I53" s="11"/>
      <c r="J53" s="11"/>
      <c r="K53" s="11"/>
      <c r="L53" s="11"/>
    </row>
    <row r="54" spans="1:1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</row>
    <row r="55" spans="1:1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</row>
    <row r="56" spans="1:12" ht="18.75">
      <c r="A56" s="11"/>
      <c r="B56" s="31"/>
      <c r="C56" s="62">
        <v>300</v>
      </c>
      <c r="D56" s="11"/>
      <c r="E56" s="11"/>
      <c r="F56" s="11"/>
      <c r="G56" s="11"/>
      <c r="H56" s="11"/>
      <c r="I56" s="32">
        <f>MAX(((53*VLOOKUP(F12,IF(E12="IPE",IPE[],Table5[]),3,FALSE)*100)/2400),((84*1000*VLOOKUP(F12,IF(E12="IPE",IPE[],Table5[]),3,FALSE))/24000))</f>
        <v>1050</v>
      </c>
      <c r="J56" s="11"/>
      <c r="K56" s="11"/>
      <c r="L56" s="11"/>
    </row>
    <row r="57" spans="1:12">
      <c r="A57" s="11"/>
      <c r="B57" s="33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 ht="18.75">
      <c r="A58" s="11"/>
      <c r="B58" s="34"/>
      <c r="C58" s="11"/>
      <c r="D58" s="11"/>
      <c r="E58" s="11"/>
      <c r="G58" s="11"/>
      <c r="H58" s="11"/>
      <c r="I58" s="11"/>
      <c r="J58" s="11"/>
      <c r="K58" s="11"/>
      <c r="L58" s="11"/>
    </row>
    <row r="59" spans="1:12" ht="15.75">
      <c r="A59" s="11"/>
      <c r="B59" s="11"/>
      <c r="C59" s="11"/>
      <c r="D59" s="11"/>
      <c r="E59" s="11"/>
      <c r="F59" s="21">
        <v>0.6</v>
      </c>
      <c r="G59" s="11"/>
      <c r="H59" s="11"/>
      <c r="I59" s="11"/>
      <c r="J59" s="11"/>
      <c r="K59" s="11"/>
      <c r="L59" s="11"/>
    </row>
    <row r="60" spans="1:1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1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>
      <c r="A62" s="11"/>
      <c r="B62" s="11"/>
      <c r="C62" s="11"/>
      <c r="D62" s="11"/>
      <c r="E62" s="11">
        <f>(12*PI()^2*2040000)/(23*(F15)^2)</f>
        <v>17258.695374612322</v>
      </c>
      <c r="F62" s="11"/>
      <c r="G62" s="11"/>
      <c r="H62" s="11"/>
      <c r="I62" s="11"/>
      <c r="J62" s="11"/>
      <c r="K62" s="11"/>
      <c r="L62" s="11"/>
    </row>
    <row r="63" spans="1:1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1:1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1:14">
      <c r="A65" s="11"/>
      <c r="B65" s="11"/>
      <c r="C65" s="11"/>
      <c r="D65" s="11"/>
      <c r="E65" s="22">
        <f>IF(C56&lt;=I56,0.66*2400,0.6*2400)</f>
        <v>1584</v>
      </c>
      <c r="F65" s="11" t="s">
        <v>53</v>
      </c>
      <c r="G65" s="11"/>
      <c r="H65" s="11"/>
      <c r="I65" s="11"/>
      <c r="J65" s="11"/>
      <c r="K65" s="11"/>
      <c r="L65" s="11"/>
    </row>
    <row r="66" spans="1:14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1:14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</row>
    <row r="68" spans="1:14" ht="15" customHeight="1">
      <c r="A68" s="11"/>
      <c r="B68" s="11"/>
      <c r="C68" s="11"/>
      <c r="D68" s="11"/>
      <c r="E68" s="11"/>
      <c r="F68" s="107">
        <f>IF((D50/G50)&lt;=0.15,(D50/G50)+(F53/E65),"رابطه صحیح نیست")</f>
        <v>0.19015005967453363</v>
      </c>
      <c r="G68" s="107"/>
      <c r="H68" s="107"/>
      <c r="I68" s="11"/>
      <c r="J68" s="11"/>
      <c r="K68" s="11"/>
      <c r="L68" s="11"/>
    </row>
    <row r="69" spans="1:14" ht="15" customHeight="1">
      <c r="A69" s="11"/>
      <c r="B69" s="11"/>
      <c r="C69" s="11"/>
      <c r="D69" s="11"/>
      <c r="E69" s="11"/>
      <c r="F69" s="107"/>
      <c r="G69" s="107"/>
      <c r="H69" s="107"/>
      <c r="I69" s="28" t="str">
        <f>IF(F68&lt;=1,"ok","Not ok")</f>
        <v>ok</v>
      </c>
      <c r="J69" s="11"/>
      <c r="K69" s="11"/>
      <c r="L69" s="11"/>
    </row>
    <row r="70" spans="1:14">
      <c r="A70" s="11"/>
      <c r="B70" s="11"/>
      <c r="C70" s="11"/>
      <c r="D70" s="11"/>
      <c r="E70" s="11"/>
      <c r="F70" s="107"/>
      <c r="G70" s="107"/>
      <c r="H70" s="107"/>
      <c r="I70" s="11"/>
      <c r="J70" s="11"/>
      <c r="K70" s="11"/>
      <c r="L70" s="11"/>
    </row>
    <row r="71" spans="1:14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N71" s="55"/>
    </row>
    <row r="72" spans="1:14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</row>
    <row r="73" spans="1:14">
      <c r="A73" s="11"/>
      <c r="B73" s="11"/>
      <c r="C73" s="11"/>
      <c r="D73" s="11"/>
      <c r="E73" s="11"/>
      <c r="F73" s="11"/>
      <c r="G73" s="11" t="str">
        <f>IF((D50/G50)&gt;0.15,(D50/(0.6*2400))+(F53/E65),"")</f>
        <v/>
      </c>
      <c r="H73" s="11"/>
      <c r="I73" s="22" t="str">
        <f>IF(G73&lt;=1,"ok","Not ok")</f>
        <v>Not ok</v>
      </c>
      <c r="J73" s="11"/>
      <c r="K73" s="11"/>
      <c r="L73" s="11"/>
    </row>
    <row r="74" spans="1:14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</row>
    <row r="75" spans="1:14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</row>
    <row r="76" spans="1:14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</row>
    <row r="77" spans="1:14">
      <c r="A77" s="11"/>
      <c r="B77" s="11"/>
      <c r="C77" s="11"/>
      <c r="D77" s="11"/>
      <c r="E77" s="11"/>
      <c r="F77" s="11"/>
      <c r="G77" s="11" t="str">
        <f>IF((D50/G50)&gt;0.15,(D50/G50)+((F53*F59)/(E65-((E65*D50)/E62))),"")</f>
        <v/>
      </c>
      <c r="H77" s="11"/>
      <c r="I77" s="22" t="str">
        <f>IF(G77&lt;=1,"ok","Not ok")</f>
        <v>Not ok</v>
      </c>
      <c r="J77" s="11"/>
      <c r="K77" s="11"/>
      <c r="L77" s="11"/>
    </row>
    <row r="78" spans="1:14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</row>
    <row r="79" spans="1:14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</row>
    <row r="80" spans="1:14">
      <c r="H80" s="9"/>
    </row>
  </sheetData>
  <sheetProtection sheet="1" objects="1" scenarios="1"/>
  <mergeCells count="4">
    <mergeCell ref="F68:H70"/>
    <mergeCell ref="G31:J33"/>
    <mergeCell ref="A1:J6"/>
    <mergeCell ref="F12:G12"/>
  </mergeCells>
  <conditionalFormatting sqref="I73">
    <cfRule type="expression" dxfId="18" priority="4">
      <formula>$G$73&gt;1</formula>
    </cfRule>
    <cfRule type="expression" dxfId="17" priority="16">
      <formula>$F$72&gt;1</formula>
    </cfRule>
    <cfRule type="expression" dxfId="16" priority="17">
      <formula>$F$76&lt;=1</formula>
    </cfRule>
  </conditionalFormatting>
  <conditionalFormatting sqref="I77">
    <cfRule type="expression" dxfId="15" priority="3">
      <formula>$G$77&gt;1</formula>
    </cfRule>
    <cfRule type="expression" dxfId="14" priority="14">
      <formula>$F$76&gt;1</formula>
    </cfRule>
    <cfRule type="expression" dxfId="13" priority="15">
      <formula>$F$76&lt;=1</formula>
    </cfRule>
  </conditionalFormatting>
  <conditionalFormatting sqref="I45">
    <cfRule type="expression" dxfId="12" priority="12">
      <formula>$C$45&gt;$G$45</formula>
    </cfRule>
    <cfRule type="expression" dxfId="11" priority="13">
      <formula>$C$45&lt;=$G$45</formula>
    </cfRule>
  </conditionalFormatting>
  <conditionalFormatting sqref="I39">
    <cfRule type="expression" dxfId="10" priority="8">
      <formula>$D$39&gt;$G$39</formula>
    </cfRule>
    <cfRule type="expression" dxfId="9" priority="9">
      <formula>$D$39&lt;=$G$39</formula>
    </cfRule>
  </conditionalFormatting>
  <conditionalFormatting sqref="I36">
    <cfRule type="expression" dxfId="8" priority="6">
      <formula>$D$36&gt;$G$36</formula>
    </cfRule>
    <cfRule type="expression" dxfId="7" priority="7">
      <formula>$D$36&lt;=$G$36</formula>
    </cfRule>
  </conditionalFormatting>
  <conditionalFormatting sqref="F48">
    <cfRule type="expression" dxfId="6" priority="31">
      <formula>$C$48&lt;=$D$48</formula>
    </cfRule>
    <cfRule type="expression" dxfId="5" priority="32">
      <formula>$C$48&gt;$E$49</formula>
    </cfRule>
  </conditionalFormatting>
  <conditionalFormatting sqref="I69">
    <cfRule type="expression" dxfId="4" priority="50">
      <formula>$F$68&gt;1</formula>
    </cfRule>
    <cfRule type="expression" dxfId="3" priority="51">
      <formula>#REF!&gt;1</formula>
    </cfRule>
    <cfRule type="expression" dxfId="2" priority="52">
      <formula>#REF!&lt;1</formula>
    </cfRule>
    <cfRule type="expression" dxfId="1" priority="2">
      <formula>$F$68&lt;=1</formula>
    </cfRule>
    <cfRule type="expression" dxfId="0" priority="1">
      <formula>$F$68&gt;1</formula>
    </cfRule>
  </conditionalFormatting>
  <dataValidations count="5">
    <dataValidation type="list" allowBlank="1" showInputMessage="1" showErrorMessage="1" sqref="M12">
      <formula1>"80x80x8,60x60x6,50x50x5,100x100x10,120x120x12,120,140,160,180,200,220,240,270,300"</formula1>
    </dataValidation>
    <dataValidation type="list" allowBlank="1" showInputMessage="1" showErrorMessage="1" sqref="D7">
      <formula1>"c2,c6,c10,c14"</formula1>
    </dataValidation>
    <dataValidation type="list" allowBlank="1" showInputMessage="1" showErrorMessage="1" sqref="F12">
      <formula1>"4L120,4L60"</formula1>
    </dataValidation>
    <dataValidation type="list" allowBlank="1" showInputMessage="1" showErrorMessage="1" sqref="E12">
      <formula1>"IPE,USER"</formula1>
    </dataValidation>
    <dataValidation type="list" allowBlank="1" showInputMessage="1" showErrorMessage="1" sqref="G7">
      <formula1>"1,2,3,4,5,6,7,8"</formula1>
    </dataValidation>
  </dataValidations>
  <pageMargins left="0.7" right="0.7" top="0.75" bottom="0.75" header="0.3" footer="0.3"/>
  <pageSetup orientation="portrait" horizontalDpi="300" verticalDpi="0" copies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154"/>
  <sheetViews>
    <sheetView tabSelected="1" topLeftCell="A133" workbookViewId="0">
      <selection activeCell="H113" sqref="H113"/>
    </sheetView>
  </sheetViews>
  <sheetFormatPr defaultColWidth="9.140625" defaultRowHeight="15"/>
  <cols>
    <col min="1" max="8" width="9.140625" style="9"/>
    <col min="9" max="9" width="8.42578125" style="9" customWidth="1"/>
    <col min="10" max="10" width="10" style="9" customWidth="1"/>
    <col min="11" max="16384" width="9.140625" style="9"/>
  </cols>
  <sheetData>
    <row r="1" spans="1:13">
      <c r="A1" s="122" t="s">
        <v>108</v>
      </c>
      <c r="B1" s="123"/>
      <c r="C1" s="123"/>
      <c r="D1" s="123"/>
      <c r="E1" s="123"/>
      <c r="F1" s="123"/>
      <c r="G1" s="123"/>
      <c r="H1" s="123"/>
      <c r="I1" s="123"/>
      <c r="J1" s="123"/>
      <c r="K1" s="11"/>
    </row>
    <row r="2" spans="1:13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1"/>
    </row>
    <row r="3" spans="1:13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1"/>
    </row>
    <row r="4" spans="1:13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1"/>
    </row>
    <row r="5" spans="1:13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1"/>
      <c r="M5" s="55"/>
    </row>
    <row r="6" spans="1:13">
      <c r="A6" s="11"/>
      <c r="B6" s="11"/>
      <c r="C6" s="11"/>
      <c r="D6" s="11"/>
      <c r="E6" s="11"/>
      <c r="F6" s="124" t="s">
        <v>120</v>
      </c>
      <c r="G6" s="125"/>
      <c r="H6" s="125"/>
      <c r="I6" s="125"/>
      <c r="J6" s="125"/>
      <c r="K6" s="11"/>
    </row>
    <row r="7" spans="1:13">
      <c r="A7" s="11"/>
      <c r="B7" s="11"/>
      <c r="C7" s="11"/>
      <c r="D7" s="11"/>
      <c r="E7" s="11"/>
      <c r="F7" s="125"/>
      <c r="G7" s="125"/>
      <c r="H7" s="125"/>
      <c r="I7" s="125"/>
      <c r="J7" s="125"/>
      <c r="K7" s="11"/>
    </row>
    <row r="8" spans="1:13">
      <c r="A8" s="11"/>
      <c r="B8" s="11"/>
      <c r="C8" s="11"/>
      <c r="D8" s="11"/>
      <c r="E8" s="11"/>
      <c r="F8" s="125"/>
      <c r="G8" s="125"/>
      <c r="H8" s="125"/>
      <c r="I8" s="125"/>
      <c r="J8" s="125"/>
      <c r="K8" s="11"/>
    </row>
    <row r="9" spans="1:13">
      <c r="A9" s="11"/>
      <c r="B9" s="11"/>
      <c r="C9" s="11"/>
      <c r="D9" s="11"/>
      <c r="E9" s="11"/>
      <c r="F9" s="13"/>
      <c r="G9" s="13"/>
      <c r="H9" s="13"/>
      <c r="I9" s="13"/>
      <c r="J9" s="13"/>
      <c r="K9" s="11"/>
    </row>
    <row r="10" spans="1:13">
      <c r="A10" s="126" t="s">
        <v>107</v>
      </c>
      <c r="B10" s="126"/>
      <c r="C10" s="110" t="s">
        <v>106</v>
      </c>
      <c r="D10" s="110"/>
      <c r="E10" s="110"/>
      <c r="F10" s="13"/>
      <c r="G10" s="13"/>
      <c r="H10" s="13"/>
      <c r="I10" s="13"/>
      <c r="J10" s="13"/>
      <c r="K10" s="11"/>
    </row>
    <row r="11" spans="1:13" ht="18.75">
      <c r="A11" s="126"/>
      <c r="B11" s="126"/>
      <c r="C11" s="110"/>
      <c r="D11" s="110"/>
      <c r="E11" s="110"/>
      <c r="F11" s="68">
        <v>100</v>
      </c>
      <c r="G11" s="70" t="s">
        <v>41</v>
      </c>
      <c r="H11" s="13"/>
      <c r="I11" s="13"/>
      <c r="J11" s="13"/>
      <c r="K11" s="11"/>
    </row>
    <row r="12" spans="1:13" ht="18.75">
      <c r="A12" s="11"/>
      <c r="B12" s="11"/>
      <c r="C12" s="110" t="s">
        <v>105</v>
      </c>
      <c r="D12" s="110"/>
      <c r="E12" s="110"/>
      <c r="F12" s="22"/>
      <c r="G12" s="70"/>
      <c r="H12" s="13"/>
      <c r="I12" s="13"/>
      <c r="J12" s="13"/>
      <c r="K12" s="11"/>
    </row>
    <row r="13" spans="1:13" ht="18.75">
      <c r="A13" s="11"/>
      <c r="B13" s="11"/>
      <c r="C13" s="110"/>
      <c r="D13" s="110"/>
      <c r="E13" s="110"/>
      <c r="F13" s="68">
        <v>100</v>
      </c>
      <c r="G13" s="70" t="s">
        <v>41</v>
      </c>
      <c r="H13" s="13"/>
      <c r="I13" s="13"/>
      <c r="J13" s="13"/>
      <c r="K13" s="11"/>
    </row>
    <row r="14" spans="1:13" ht="18.75">
      <c r="A14" s="11"/>
      <c r="B14" s="11"/>
      <c r="C14" s="110" t="s">
        <v>104</v>
      </c>
      <c r="D14" s="110"/>
      <c r="E14" s="110"/>
      <c r="F14" s="22"/>
      <c r="G14" s="70"/>
      <c r="H14" s="13"/>
      <c r="I14" s="13"/>
      <c r="J14" s="13"/>
      <c r="K14" s="11"/>
    </row>
    <row r="15" spans="1:13" ht="18.75">
      <c r="A15" s="11"/>
      <c r="B15" s="11"/>
      <c r="C15" s="110"/>
      <c r="D15" s="110"/>
      <c r="E15" s="110"/>
      <c r="F15" s="68">
        <v>5</v>
      </c>
      <c r="G15" s="70" t="s">
        <v>41</v>
      </c>
      <c r="H15" s="13"/>
      <c r="I15" s="13"/>
      <c r="J15" s="13"/>
      <c r="K15" s="11"/>
    </row>
    <row r="16" spans="1:13">
      <c r="A16" s="11"/>
      <c r="B16" s="11"/>
      <c r="C16" s="110" t="s">
        <v>103</v>
      </c>
      <c r="D16" s="110"/>
      <c r="E16" s="110"/>
      <c r="F16" s="22"/>
      <c r="G16" s="13"/>
      <c r="H16" s="13"/>
      <c r="I16" s="13"/>
      <c r="J16" s="13"/>
      <c r="K16" s="11"/>
    </row>
    <row r="17" spans="1:11" ht="18.75">
      <c r="A17" s="11"/>
      <c r="B17" s="11"/>
      <c r="C17" s="110"/>
      <c r="D17" s="110"/>
      <c r="E17" s="110"/>
      <c r="F17" s="67">
        <v>44</v>
      </c>
      <c r="G17" s="70" t="s">
        <v>119</v>
      </c>
      <c r="H17" s="13"/>
      <c r="I17" s="13"/>
      <c r="J17" s="13"/>
      <c r="K17" s="11"/>
    </row>
    <row r="18" spans="1:11">
      <c r="A18" s="11"/>
      <c r="B18" s="11"/>
      <c r="C18" s="110" t="s">
        <v>102</v>
      </c>
      <c r="D18" s="110"/>
      <c r="E18" s="110"/>
      <c r="F18" s="22"/>
      <c r="G18" s="11"/>
      <c r="H18" s="11"/>
      <c r="I18" s="11"/>
      <c r="J18" s="11"/>
      <c r="K18" s="11"/>
    </row>
    <row r="19" spans="1:11" ht="18" customHeight="1">
      <c r="A19" s="11"/>
      <c r="B19" s="11"/>
      <c r="C19" s="110"/>
      <c r="D19" s="110"/>
      <c r="E19" s="110"/>
      <c r="F19" s="89">
        <v>22</v>
      </c>
      <c r="G19" s="11"/>
      <c r="H19" s="71"/>
      <c r="I19" s="71"/>
      <c r="J19" s="71"/>
      <c r="K19" s="11"/>
    </row>
    <row r="20" spans="1:11" ht="14.25" customHeight="1">
      <c r="A20" s="128" t="s">
        <v>131</v>
      </c>
      <c r="B20" s="128"/>
      <c r="C20" s="115" t="s">
        <v>121</v>
      </c>
      <c r="D20" s="115"/>
      <c r="E20" s="115"/>
      <c r="F20" s="46"/>
      <c r="G20" s="11"/>
      <c r="H20" s="71"/>
      <c r="I20" s="71"/>
      <c r="J20" s="71"/>
      <c r="K20" s="11"/>
    </row>
    <row r="21" spans="1:11" ht="21.75" customHeight="1">
      <c r="A21" s="128"/>
      <c r="B21" s="128"/>
      <c r="C21" s="115"/>
      <c r="D21" s="115"/>
      <c r="E21" s="115"/>
      <c r="F21" s="89">
        <v>6000</v>
      </c>
      <c r="G21" s="73" t="s">
        <v>122</v>
      </c>
      <c r="H21" s="71"/>
      <c r="I21" s="71"/>
      <c r="J21" s="71"/>
      <c r="K21" s="11"/>
    </row>
    <row r="22" spans="1:11" ht="9" customHeight="1">
      <c r="A22" s="11"/>
      <c r="B22" s="11"/>
      <c r="C22" s="72"/>
      <c r="D22" s="72"/>
      <c r="E22" s="72"/>
      <c r="F22" s="84"/>
      <c r="G22" s="73"/>
      <c r="H22" s="71"/>
      <c r="I22" s="71"/>
      <c r="J22" s="71"/>
      <c r="K22" s="11"/>
    </row>
    <row r="23" spans="1:11" ht="20.25" customHeight="1">
      <c r="A23" s="11"/>
      <c r="B23" s="11"/>
      <c r="C23" s="115" t="s">
        <v>130</v>
      </c>
      <c r="D23" s="115"/>
      <c r="E23" s="115"/>
      <c r="F23" s="89">
        <v>250</v>
      </c>
      <c r="G23" s="73" t="s">
        <v>122</v>
      </c>
      <c r="H23" s="71"/>
      <c r="I23" s="71"/>
      <c r="J23" s="71"/>
      <c r="K23" s="11"/>
    </row>
    <row r="24" spans="1:11" ht="15" customHeight="1">
      <c r="A24" s="11"/>
      <c r="B24" s="11"/>
      <c r="C24" s="11"/>
      <c r="D24" s="11"/>
      <c r="E24" s="11"/>
      <c r="F24" s="11"/>
      <c r="G24" s="71"/>
      <c r="H24" s="116" t="s">
        <v>101</v>
      </c>
      <c r="I24" s="116"/>
      <c r="J24" s="116"/>
      <c r="K24" s="11"/>
    </row>
    <row r="25" spans="1:11" ht="24.75" customHeight="1">
      <c r="A25" s="11"/>
      <c r="B25" s="11"/>
      <c r="C25" s="11"/>
      <c r="D25" s="11"/>
      <c r="E25" s="11"/>
      <c r="F25" s="11"/>
      <c r="G25" s="71"/>
      <c r="H25" s="116"/>
      <c r="I25" s="116"/>
      <c r="J25" s="116"/>
      <c r="K25" s="11"/>
    </row>
    <row r="26" spans="1:11" ht="30" customHeight="1">
      <c r="A26" s="11"/>
      <c r="B26" s="11"/>
      <c r="C26" s="11"/>
      <c r="D26" s="11"/>
      <c r="E26" s="11"/>
      <c r="F26" s="11"/>
      <c r="G26" s="70"/>
      <c r="H26" s="71"/>
      <c r="I26" s="71"/>
      <c r="J26" s="71"/>
      <c r="K26" s="11"/>
    </row>
    <row r="27" spans="1:11" ht="20.25" customHeight="1">
      <c r="A27" s="11"/>
      <c r="B27" s="36" t="s">
        <v>109</v>
      </c>
      <c r="C27" s="105" t="s">
        <v>144</v>
      </c>
      <c r="D27" s="105"/>
      <c r="E27" s="11"/>
      <c r="F27" s="90">
        <v>330</v>
      </c>
      <c r="G27" s="74" t="s">
        <v>41</v>
      </c>
      <c r="H27" s="11"/>
      <c r="I27" s="11"/>
      <c r="J27" s="71"/>
      <c r="K27" s="11"/>
    </row>
    <row r="28" spans="1:11" ht="15" customHeight="1">
      <c r="A28" s="11"/>
      <c r="B28" s="36"/>
      <c r="C28" s="11"/>
      <c r="D28" s="11"/>
      <c r="E28" s="11"/>
      <c r="F28" s="11"/>
      <c r="G28" s="11"/>
      <c r="H28" s="11"/>
      <c r="I28" s="11"/>
      <c r="J28" s="11"/>
      <c r="K28" s="11"/>
    </row>
    <row r="29" spans="1:11" ht="15" customHeight="1">
      <c r="A29" s="11"/>
      <c r="B29" s="36"/>
      <c r="C29" s="11"/>
      <c r="D29" s="11"/>
      <c r="E29" s="11"/>
      <c r="F29" s="11"/>
      <c r="G29" s="11"/>
      <c r="H29" s="11"/>
      <c r="I29" s="121" t="s">
        <v>116</v>
      </c>
      <c r="J29" s="121"/>
      <c r="K29" s="11"/>
    </row>
    <row r="30" spans="1:11" ht="15" customHeight="1">
      <c r="A30" s="11"/>
      <c r="B30" s="36"/>
      <c r="C30" s="11"/>
      <c r="D30" s="11"/>
      <c r="E30" s="11"/>
      <c r="F30" s="11"/>
      <c r="G30" s="11"/>
      <c r="H30" s="11"/>
      <c r="I30" s="121"/>
      <c r="J30" s="121"/>
      <c r="K30" s="11"/>
    </row>
    <row r="31" spans="1:1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>
      <c r="A32" s="11"/>
      <c r="B32" s="11"/>
      <c r="C32" s="11"/>
      <c r="D32" s="11"/>
      <c r="E32" s="22">
        <f>VLOOKUP(C27,Table5[],15,FALSE)*2400</f>
        <v>13438320</v>
      </c>
      <c r="F32" s="11" t="s">
        <v>110</v>
      </c>
      <c r="G32" s="11"/>
      <c r="H32" s="11"/>
      <c r="I32" s="11">
        <f>(2*E32)/(F27*1.7)</f>
        <v>47908.449197860966</v>
      </c>
      <c r="J32" s="75" t="s">
        <v>111</v>
      </c>
      <c r="K32" s="11"/>
    </row>
    <row r="33" spans="1:11">
      <c r="A33" s="11"/>
      <c r="B33" s="11"/>
      <c r="C33" s="11"/>
      <c r="D33" s="11"/>
      <c r="E33" s="11"/>
      <c r="F33" s="11"/>
      <c r="G33" s="11"/>
      <c r="H33" s="11"/>
      <c r="I33" s="11"/>
      <c r="J33" s="22"/>
      <c r="K33" s="11"/>
    </row>
    <row r="34" spans="1:11" ht="15.75">
      <c r="A34" s="11"/>
      <c r="B34" s="11"/>
      <c r="C34" s="11"/>
      <c r="D34" s="11"/>
      <c r="E34" s="11"/>
      <c r="F34" s="11"/>
      <c r="G34" s="11"/>
      <c r="H34" s="25"/>
      <c r="I34" s="11"/>
      <c r="J34" s="22"/>
      <c r="K34" s="11"/>
    </row>
    <row r="35" spans="1:11">
      <c r="A35" s="11"/>
      <c r="B35" s="11"/>
      <c r="C35" s="11"/>
      <c r="D35" s="11"/>
      <c r="E35" s="11">
        <f>VLOOKUP(C27,Table5[],16,FALSE)*2400</f>
        <v>13438320</v>
      </c>
      <c r="F35" s="11" t="s">
        <v>110</v>
      </c>
      <c r="G35" s="11"/>
      <c r="H35" s="11"/>
      <c r="I35" s="11">
        <f>(2*E35)/(F27*1.7)</f>
        <v>47908.449197860966</v>
      </c>
      <c r="J35" s="75" t="s">
        <v>111</v>
      </c>
      <c r="K35" s="11"/>
    </row>
    <row r="36" spans="1:1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1:1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1:11">
      <c r="A38" s="11"/>
      <c r="B38" s="11"/>
      <c r="C38" s="11"/>
      <c r="D38" s="11"/>
      <c r="E38" s="11"/>
      <c r="F38" s="11">
        <f>SQRT((I32^2)+(I35^2))</f>
        <v>67752.778607877408</v>
      </c>
      <c r="G38" s="75" t="s">
        <v>111</v>
      </c>
      <c r="H38" s="11"/>
      <c r="I38" s="11"/>
      <c r="J38" s="11"/>
      <c r="K38" s="11"/>
    </row>
    <row r="39" spans="1:1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</row>
    <row r="40" spans="1:1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ht="33.75" customHeight="1">
      <c r="A41" s="11"/>
      <c r="B41" s="76"/>
      <c r="C41" s="76"/>
      <c r="D41" s="76"/>
      <c r="E41" s="119" t="s">
        <v>112</v>
      </c>
      <c r="F41" s="119"/>
      <c r="G41" s="119"/>
      <c r="H41" s="119"/>
      <c r="I41" s="119"/>
      <c r="J41" s="119"/>
      <c r="K41" s="77"/>
    </row>
    <row r="42" spans="1:11" ht="16.5" customHeight="1">
      <c r="A42" s="11"/>
      <c r="B42" s="76"/>
      <c r="C42" s="76"/>
      <c r="D42" s="76"/>
      <c r="E42" s="119"/>
      <c r="F42" s="119"/>
      <c r="G42" s="119"/>
      <c r="H42" s="119"/>
      <c r="I42" s="119"/>
      <c r="J42" s="119"/>
      <c r="K42" s="77"/>
    </row>
    <row r="43" spans="1:11" ht="15" customHeight="1">
      <c r="A43" s="11"/>
      <c r="B43" s="120" t="s">
        <v>138</v>
      </c>
      <c r="C43" s="120"/>
      <c r="D43" s="120"/>
      <c r="E43" s="120"/>
      <c r="F43" s="120"/>
      <c r="G43" s="120"/>
      <c r="H43" s="120"/>
      <c r="I43" s="120"/>
      <c r="J43" s="120"/>
      <c r="K43" s="120"/>
    </row>
    <row r="44" spans="1:11" ht="15" customHeight="1">
      <c r="A44" s="11"/>
      <c r="B44" s="120"/>
      <c r="C44" s="120"/>
      <c r="D44" s="120"/>
      <c r="E44" s="120"/>
      <c r="F44" s="120"/>
      <c r="G44" s="120"/>
      <c r="H44" s="120"/>
      <c r="I44" s="120"/>
      <c r="J44" s="120"/>
      <c r="K44" s="120"/>
    </row>
    <row r="45" spans="1:11">
      <c r="A45" s="11"/>
      <c r="B45" s="120"/>
      <c r="C45" s="120"/>
      <c r="D45" s="120"/>
      <c r="E45" s="120"/>
      <c r="F45" s="120"/>
      <c r="G45" s="120"/>
      <c r="H45" s="120"/>
      <c r="I45" s="120"/>
      <c r="J45" s="120"/>
      <c r="K45" s="120"/>
    </row>
    <row r="46" spans="1:11" ht="44.25">
      <c r="A46" s="11"/>
      <c r="B46" s="78"/>
      <c r="C46" s="78"/>
      <c r="D46" s="78"/>
      <c r="E46" s="78"/>
      <c r="F46" s="78"/>
      <c r="G46" s="78"/>
      <c r="H46" s="113" t="s">
        <v>117</v>
      </c>
      <c r="I46" s="113"/>
      <c r="J46" s="113"/>
      <c r="K46" s="78"/>
    </row>
    <row r="47" spans="1:1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</row>
    <row r="48" spans="1:11">
      <c r="A48" s="11"/>
      <c r="B48" s="11"/>
      <c r="C48" s="22">
        <f>VLOOKUP(C27,Table5[],17,FALSE)</f>
        <v>235.08</v>
      </c>
      <c r="D48" s="79" t="s">
        <v>113</v>
      </c>
      <c r="E48" s="11"/>
      <c r="F48" s="11"/>
      <c r="G48" s="22">
        <f>VLOOKUP(C27,Table5[],18,FALSE)</f>
        <v>235.08</v>
      </c>
      <c r="H48" s="79" t="s">
        <v>113</v>
      </c>
      <c r="I48" s="11"/>
      <c r="J48" s="11"/>
      <c r="K48" s="11"/>
    </row>
    <row r="49" spans="1:1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spans="1:11">
      <c r="A50" s="11"/>
      <c r="B50" s="11"/>
      <c r="C50" s="11"/>
      <c r="D50" s="11"/>
      <c r="E50" s="11"/>
      <c r="F50" s="11"/>
      <c r="G50" s="11">
        <f>(960*C48)+((960/15)*2*(2/3)*G48)</f>
        <v>245736.96000000002</v>
      </c>
      <c r="H50" s="11"/>
      <c r="I50" s="11"/>
      <c r="J50" s="11"/>
      <c r="K50" s="11"/>
    </row>
    <row r="51" spans="1:1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</row>
    <row r="52" spans="1:1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</row>
    <row r="53" spans="1:11">
      <c r="A53" s="11"/>
      <c r="B53" s="11"/>
      <c r="C53" s="11"/>
      <c r="D53" s="11"/>
      <c r="E53" s="11"/>
      <c r="F53" s="11"/>
      <c r="G53" s="11">
        <f>SQRT(2)*G50</f>
        <v>347524.54160833481</v>
      </c>
      <c r="H53" s="75" t="s">
        <v>111</v>
      </c>
      <c r="I53" s="11"/>
      <c r="J53" s="11"/>
      <c r="K53" s="11"/>
    </row>
    <row r="54" spans="1:1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</row>
    <row r="55" spans="1:11" ht="17.25" customHeight="1">
      <c r="A55" s="11"/>
      <c r="B55" s="11"/>
      <c r="C55" s="11"/>
      <c r="D55" s="11"/>
      <c r="E55" s="11"/>
      <c r="F55" s="11"/>
      <c r="G55" s="11"/>
      <c r="H55" s="114" t="s">
        <v>118</v>
      </c>
      <c r="I55" s="114"/>
      <c r="J55" s="114"/>
      <c r="K55" s="11"/>
    </row>
    <row r="56" spans="1:11" ht="18.75" customHeight="1">
      <c r="A56" s="11"/>
      <c r="B56" s="11"/>
      <c r="C56" s="11"/>
      <c r="D56" s="11"/>
      <c r="E56" s="11"/>
      <c r="F56" s="11"/>
      <c r="G56" s="11"/>
      <c r="H56" s="114"/>
      <c r="I56" s="114"/>
      <c r="J56" s="114"/>
      <c r="K56" s="11"/>
    </row>
    <row r="57" spans="1:11">
      <c r="A57" s="11"/>
      <c r="B57" s="11"/>
      <c r="C57" s="54">
        <v>319457</v>
      </c>
      <c r="D57" s="11" t="s">
        <v>40</v>
      </c>
      <c r="E57" s="11"/>
      <c r="F57" s="11"/>
      <c r="G57" s="22">
        <f>C57/1.7</f>
        <v>187915.88235294117</v>
      </c>
      <c r="H57" s="79" t="s">
        <v>40</v>
      </c>
      <c r="I57" s="11"/>
      <c r="J57" s="11"/>
      <c r="K57" s="11"/>
    </row>
    <row r="58" spans="1:1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</row>
    <row r="59" spans="1:1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</row>
    <row r="60" spans="1:11">
      <c r="A60" s="11"/>
      <c r="B60" s="11"/>
      <c r="C60" s="11"/>
      <c r="D60" s="11"/>
      <c r="E60" s="11"/>
      <c r="F60" s="11"/>
      <c r="G60" s="11"/>
      <c r="H60" s="11">
        <f>MIN(G57,G53,F38)</f>
        <v>67752.778607877408</v>
      </c>
      <c r="I60" s="75" t="s">
        <v>111</v>
      </c>
      <c r="J60" s="11"/>
      <c r="K60" s="11"/>
    </row>
    <row r="61" spans="1:1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</row>
    <row r="62" spans="1:1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</row>
    <row r="63" spans="1:1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</row>
    <row r="64" spans="1:11" ht="21">
      <c r="A64" s="11"/>
      <c r="B64" s="11"/>
      <c r="C64" s="11"/>
      <c r="D64" s="11">
        <f>H60*100/(((F19*4)-4)*0.25*PI()*F17^2)</f>
        <v>53.045993819630624</v>
      </c>
      <c r="E64" s="80" t="s">
        <v>122</v>
      </c>
      <c r="F64" s="11"/>
      <c r="G64" s="11"/>
      <c r="H64" s="22">
        <f>0.17*F21</f>
        <v>1020.0000000000001</v>
      </c>
      <c r="I64" s="80" t="s">
        <v>122</v>
      </c>
      <c r="J64" s="81" t="str">
        <f>IF(D64&lt;=H64,"ok","Not ok")</f>
        <v>ok</v>
      </c>
      <c r="K64" s="11"/>
    </row>
    <row r="65" spans="1:1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</row>
    <row r="66" spans="1:1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</row>
    <row r="67" spans="1:11">
      <c r="A67" s="11"/>
      <c r="B67" s="11"/>
      <c r="C67" s="11"/>
      <c r="D67" s="11"/>
      <c r="E67" s="11"/>
      <c r="F67" s="11"/>
      <c r="G67" s="116" t="s">
        <v>123</v>
      </c>
      <c r="H67" s="117"/>
      <c r="I67" s="117"/>
      <c r="J67" s="117"/>
      <c r="K67" s="11"/>
    </row>
    <row r="68" spans="1:11">
      <c r="A68" s="11"/>
      <c r="B68" s="11"/>
      <c r="C68" s="11"/>
      <c r="D68" s="11"/>
      <c r="E68" s="11"/>
      <c r="F68" s="11"/>
      <c r="G68" s="117"/>
      <c r="H68" s="117"/>
      <c r="I68" s="117"/>
      <c r="J68" s="117"/>
      <c r="K68" s="11"/>
    </row>
    <row r="69" spans="1:11" ht="10.5" customHeight="1">
      <c r="A69" s="11"/>
      <c r="B69" s="11"/>
      <c r="C69" s="11"/>
      <c r="D69" s="11"/>
      <c r="E69" s="11"/>
      <c r="F69" s="11"/>
      <c r="G69" s="117"/>
      <c r="H69" s="117"/>
      <c r="I69" s="117"/>
      <c r="J69" s="117"/>
      <c r="K69" s="11"/>
    </row>
    <row r="70" spans="1:11">
      <c r="A70" s="11"/>
      <c r="B70" s="11"/>
      <c r="C70" s="11"/>
      <c r="D70" s="11"/>
      <c r="E70" s="11"/>
      <c r="F70" s="11"/>
      <c r="G70" s="117"/>
      <c r="H70" s="117"/>
      <c r="I70" s="117"/>
      <c r="J70" s="117"/>
      <c r="K70" s="11"/>
    </row>
    <row r="71" spans="1:11" ht="15" customHeight="1">
      <c r="A71" s="112" t="s">
        <v>124</v>
      </c>
      <c r="B71" s="112"/>
      <c r="C71" s="112"/>
      <c r="D71" s="82"/>
      <c r="E71" s="11"/>
      <c r="F71" s="118" t="s">
        <v>125</v>
      </c>
      <c r="G71" s="118"/>
      <c r="H71" s="118"/>
      <c r="I71" s="11"/>
      <c r="J71" s="11"/>
      <c r="K71" s="11"/>
    </row>
    <row r="72" spans="1:11" ht="21" customHeight="1">
      <c r="A72" s="112"/>
      <c r="B72" s="112"/>
      <c r="C72" s="112"/>
      <c r="D72" s="18">
        <f>F17*3*0.1</f>
        <v>13.200000000000001</v>
      </c>
      <c r="E72" s="79" t="s">
        <v>41</v>
      </c>
      <c r="F72" s="118"/>
      <c r="G72" s="118"/>
      <c r="H72" s="118"/>
      <c r="I72" s="39">
        <f>F17*2*0.1</f>
        <v>8.8000000000000007</v>
      </c>
      <c r="J72" s="79" t="s">
        <v>41</v>
      </c>
      <c r="K72" s="11"/>
    </row>
    <row r="73" spans="1:1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</row>
    <row r="74" spans="1:11" ht="18.75" customHeight="1">
      <c r="A74" s="11"/>
      <c r="B74" s="111" t="s">
        <v>127</v>
      </c>
      <c r="C74" s="111"/>
      <c r="D74" s="111"/>
      <c r="E74" s="111"/>
      <c r="F74" s="15">
        <f>2*I72+((F19-1)*D72)</f>
        <v>294.80000000000007</v>
      </c>
      <c r="G74" s="11">
        <f>F11</f>
        <v>100</v>
      </c>
      <c r="H74" s="83" t="str">
        <f>IF(F74&lt;=G74,"ok","Not ok")</f>
        <v>Not ok</v>
      </c>
      <c r="I74" s="11"/>
      <c r="J74" s="11"/>
      <c r="K74" s="11"/>
    </row>
    <row r="75" spans="1:11" ht="15" customHeight="1">
      <c r="A75" s="11"/>
      <c r="B75" s="111"/>
      <c r="C75" s="111"/>
      <c r="D75" s="111"/>
      <c r="E75" s="111"/>
      <c r="F75" s="11"/>
      <c r="G75" s="11"/>
      <c r="H75" s="11"/>
      <c r="I75" s="11"/>
      <c r="J75" s="11"/>
      <c r="K75" s="11"/>
    </row>
    <row r="76" spans="1:11" ht="18.75" customHeight="1">
      <c r="A76" s="11"/>
      <c r="B76" s="112" t="s">
        <v>126</v>
      </c>
      <c r="C76" s="112"/>
      <c r="D76" s="112"/>
      <c r="E76" s="112"/>
      <c r="F76" s="11"/>
      <c r="G76" s="11"/>
      <c r="H76" s="11"/>
      <c r="I76" s="83"/>
      <c r="J76" s="11"/>
      <c r="K76" s="11"/>
    </row>
    <row r="77" spans="1:11" ht="18.75" customHeight="1">
      <c r="A77" s="11"/>
      <c r="B77" s="112"/>
      <c r="C77" s="112"/>
      <c r="D77" s="112"/>
      <c r="E77" s="112"/>
      <c r="F77" s="15">
        <f>2*I72+((F19-1)*D72)</f>
        <v>294.80000000000007</v>
      </c>
      <c r="G77" s="11">
        <f>F13</f>
        <v>100</v>
      </c>
      <c r="H77" s="83" t="str">
        <f>IF(F77&lt;=G77,"ok","Not ok")</f>
        <v>Not ok</v>
      </c>
      <c r="I77" s="11"/>
      <c r="J77" s="11"/>
      <c r="K77" s="11"/>
    </row>
    <row r="78" spans="1:11">
      <c r="A78" s="11"/>
      <c r="B78" s="11"/>
      <c r="C78" s="11"/>
      <c r="D78" s="11"/>
      <c r="E78" s="11"/>
      <c r="F78" s="11"/>
      <c r="G78" s="11"/>
      <c r="H78" s="127" t="s">
        <v>128</v>
      </c>
      <c r="I78" s="127"/>
      <c r="J78" s="127"/>
      <c r="K78" s="11"/>
    </row>
    <row r="79" spans="1:11">
      <c r="A79" s="11"/>
      <c r="B79" s="11"/>
      <c r="C79" s="11"/>
      <c r="D79" s="11"/>
      <c r="E79" s="11"/>
      <c r="F79" s="11"/>
      <c r="G79" s="11"/>
      <c r="H79" s="127"/>
      <c r="I79" s="127"/>
      <c r="J79" s="127"/>
      <c r="K79" s="11"/>
    </row>
    <row r="80" spans="1:11">
      <c r="A80" s="11"/>
      <c r="B80" s="11"/>
      <c r="C80" s="11"/>
      <c r="D80" s="11"/>
      <c r="E80" s="11"/>
      <c r="F80" s="11"/>
      <c r="G80" s="11"/>
      <c r="H80" s="127"/>
      <c r="I80" s="127"/>
      <c r="J80" s="127"/>
      <c r="K80" s="11"/>
    </row>
    <row r="81" spans="1:28" ht="18" customHeight="1">
      <c r="A81" s="11"/>
      <c r="B81" s="85" t="s">
        <v>129</v>
      </c>
      <c r="C81" s="67" t="s">
        <v>67</v>
      </c>
      <c r="D81" s="105" t="s">
        <v>144</v>
      </c>
      <c r="E81" s="105"/>
      <c r="F81" s="105"/>
      <c r="G81" s="11"/>
      <c r="H81" s="11"/>
      <c r="I81" s="11"/>
      <c r="J81" s="11"/>
      <c r="K81" s="11"/>
    </row>
    <row r="82" spans="1:28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M82" s="87"/>
    </row>
    <row r="83" spans="1:28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W83" s="9">
        <f>(2*G90)/3</f>
        <v>23.333333333333332</v>
      </c>
    </row>
    <row r="84" spans="1:28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W84" s="9">
        <f>G92/3</f>
        <v>11.666666666666666</v>
      </c>
    </row>
    <row r="85" spans="1:28" ht="15.75" customHeight="1">
      <c r="A85" s="11"/>
      <c r="B85" s="11"/>
      <c r="C85" s="11"/>
      <c r="D85" s="11"/>
      <c r="E85" s="11"/>
      <c r="F85" s="11"/>
      <c r="G85" s="11">
        <f>MIN(((VLOOKUP(D81,IF(C81="IPE",IPE[],Table5[]),8,FALSE))/(F11*F13))*0.6*2400,0.6*F23)</f>
        <v>67.703040000000001</v>
      </c>
      <c r="H85" s="73" t="s">
        <v>122</v>
      </c>
      <c r="I85" s="11"/>
      <c r="J85" s="11"/>
      <c r="K85" s="11"/>
    </row>
    <row r="86" spans="1:28" ht="14.25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</row>
    <row r="87" spans="1:28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AB87" s="9">
        <f>(G91/G93)*W83</f>
        <v>23.333333333333332</v>
      </c>
    </row>
    <row r="88" spans="1:28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AB88" s="9">
        <f>ATAN(1)</f>
        <v>0.78539816339744828</v>
      </c>
    </row>
    <row r="89" spans="1:28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</row>
    <row r="90" spans="1:28" ht="18.75">
      <c r="A90" s="11"/>
      <c r="B90" s="11"/>
      <c r="C90" s="11"/>
      <c r="D90" s="11"/>
      <c r="E90" s="11"/>
      <c r="F90" s="30" t="s">
        <v>132</v>
      </c>
      <c r="G90" s="15">
        <f>(0.5*F11)-(((VLOOKUP(D81,IF(C81="IPE",IPE[],Table5[]),2,FALSE))/20))</f>
        <v>35</v>
      </c>
      <c r="H90" s="11" t="s">
        <v>41</v>
      </c>
      <c r="I90" s="11"/>
      <c r="J90" s="132">
        <f t="shared" ref="J90" si="0">IF(ROUNDUP(G90/G91,1)=0.5,0.06,IF(ROUNDUP(G90/G91,1)=0.61,0.074,IF(ROUNDUP(G90/G91,1)=0.7,0.088,IF(ROUNDUP(G90/G91,1)=0.8,0.097,IF(ROUNDUP(G90/G91,1)=0.9,0.107,IF(ROUNDUP(G90/G91,1)=1,0.112,IF(ROUNDUP(G90/G91,1)=1.2,0.12,IF(AND((ROUNDUP(G90/G91,1)&gt;1.2),(ROUNDUP(G90/G91,1)&lt;=1.4)),0.126,IF(AND((ROUNDUP(G90/G91,1)&gt;1.4),(ROUNDUP(G90/G91,1)&lt;=2)),0.132,0.133)))))))))</f>
        <v>0.13300000000000001</v>
      </c>
      <c r="K90" s="11"/>
    </row>
    <row r="91" spans="1:28" ht="18.75">
      <c r="A91" s="11"/>
      <c r="B91" s="11"/>
      <c r="C91" s="11"/>
      <c r="D91" s="11"/>
      <c r="E91" s="11"/>
      <c r="F91" s="30" t="s">
        <v>133</v>
      </c>
      <c r="G91" s="15">
        <f>((VLOOKUP(D81,IF(C81="IPE",IPE[],Table5[]),3,FALSE))*0.1)/(E120-1)</f>
        <v>7.5</v>
      </c>
      <c r="H91" s="11" t="s">
        <v>41</v>
      </c>
      <c r="I91" s="11"/>
      <c r="J91" s="132"/>
      <c r="K91" s="11"/>
    </row>
    <row r="92" spans="1:28" ht="18.75">
      <c r="A92" s="11"/>
      <c r="B92" s="11"/>
      <c r="C92" s="11"/>
      <c r="D92" s="11"/>
      <c r="E92" s="11"/>
      <c r="F92" s="30" t="s">
        <v>135</v>
      </c>
      <c r="G92" s="15">
        <f>(0.5*F11)-(((VLOOKUP(D81,IF(C81="IPE",IPE[],Table5[]),2,FALSE))/20))</f>
        <v>35</v>
      </c>
      <c r="H92" s="11" t="s">
        <v>41</v>
      </c>
      <c r="I92" s="11"/>
      <c r="J92" s="132">
        <f t="shared" ref="J92" si="1">IF(ROUNDUP(G92/G93,1)=0.5,0.06,IF(ROUNDUP(G92/G93,1)=0.61,0.074,IF(ROUNDUP(G92/G93,1)=0.7,0.088,IF(ROUNDUP(G92/G93,1)=0.8,0.097,IF(ROUNDUP(G92/G93,1)=0.9,0.107,IF(ROUNDUP(G92/G93,1)=1,0.112,IF(ROUNDUP(G92/G93,1)=1.2,0.12,IF(AND((ROUNDUP(G92/G93,1)&gt;1.2),(ROUNDUP(G92/G93,1)&lt;=1.4)),0.126,IF(AND((ROUNDUP(G92/G93,1)&gt;1.4),(ROUNDUP(G92/G93,1)&lt;=2)),0.132,0.133)))))))))</f>
        <v>0.13300000000000001</v>
      </c>
      <c r="K92" s="11"/>
    </row>
    <row r="93" spans="1:28" ht="18.75">
      <c r="A93" s="11"/>
      <c r="B93" s="11"/>
      <c r="C93" s="11"/>
      <c r="D93" s="11"/>
      <c r="E93" s="11"/>
      <c r="F93" s="30" t="s">
        <v>134</v>
      </c>
      <c r="G93" s="15">
        <f>((VLOOKUP(D81,IF(C81="IPE",IPE[],Table5[]),3,FALSE))*0.1)/(E120-1)</f>
        <v>7.5</v>
      </c>
      <c r="H93" s="11" t="s">
        <v>41</v>
      </c>
      <c r="I93" s="11"/>
      <c r="J93" s="132"/>
      <c r="K93" s="11"/>
    </row>
    <row r="94" spans="1:28" ht="18.75">
      <c r="A94" s="11"/>
      <c r="B94" s="11"/>
      <c r="C94" s="11"/>
      <c r="D94" s="11"/>
      <c r="E94" s="11"/>
      <c r="F94" s="30" t="s">
        <v>136</v>
      </c>
      <c r="G94" s="15">
        <f>(AB87-W84)*COS(AB88)</f>
        <v>8.2495791138430548</v>
      </c>
      <c r="H94" s="11" t="s">
        <v>41</v>
      </c>
      <c r="I94" s="11"/>
      <c r="J94" s="11"/>
      <c r="K94" s="11"/>
    </row>
    <row r="95" spans="1:28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</row>
    <row r="96" spans="1:28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</row>
    <row r="97" spans="1:1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</row>
    <row r="98" spans="1:1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</row>
    <row r="99" spans="1:11">
      <c r="A99" s="11"/>
      <c r="B99" s="11"/>
      <c r="C99" s="11"/>
      <c r="D99" s="11"/>
      <c r="E99" s="11">
        <f>J90*G85*G90^2</f>
        <v>11030.517792000001</v>
      </c>
      <c r="F99" s="11" t="s">
        <v>40</v>
      </c>
      <c r="G99" s="11"/>
      <c r="H99" s="11"/>
      <c r="I99" s="11">
        <f>G85*0.5*G90*G92*G94</f>
        <v>342094.47064570454</v>
      </c>
      <c r="J99" s="11" t="s">
        <v>40</v>
      </c>
      <c r="K99" s="11"/>
    </row>
    <row r="100" spans="1:1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</row>
    <row r="101" spans="1:1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</row>
    <row r="102" spans="1:11" ht="15.75">
      <c r="A102" s="11"/>
      <c r="B102" s="11"/>
      <c r="C102" s="18">
        <f>F15/2</f>
        <v>2.5</v>
      </c>
      <c r="D102" s="11"/>
      <c r="E102" s="11"/>
      <c r="F102" s="11">
        <f>(F11*(F15^3))/12</f>
        <v>1041.6666666666667</v>
      </c>
      <c r="G102" s="11"/>
      <c r="H102" s="11"/>
      <c r="I102" s="11">
        <f>F102/C102</f>
        <v>416.66666666666669</v>
      </c>
      <c r="J102" s="11"/>
      <c r="K102" s="11"/>
    </row>
    <row r="103" spans="1:1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</row>
    <row r="104" spans="1:11">
      <c r="A104" s="11"/>
      <c r="B104" s="11"/>
      <c r="C104" s="11"/>
      <c r="D104" s="11"/>
      <c r="E104" s="11">
        <f>MAX(E99,I99)/I102</f>
        <v>821.02672954969091</v>
      </c>
      <c r="F104" s="11"/>
      <c r="G104" s="11">
        <f>0.75*2400</f>
        <v>1800</v>
      </c>
      <c r="H104" s="9" t="s">
        <v>42</v>
      </c>
      <c r="I104" s="86" t="str">
        <f>IF(E104&lt;=G104,"ok","Not ok")</f>
        <v>ok</v>
      </c>
      <c r="J104" s="11"/>
      <c r="K104" s="11"/>
    </row>
    <row r="105" spans="1:11" ht="14.25" customHeight="1">
      <c r="A105" s="11"/>
      <c r="B105" s="11"/>
      <c r="C105" s="11"/>
      <c r="D105" s="11"/>
      <c r="E105" s="11"/>
      <c r="F105" s="11"/>
      <c r="G105" s="133" t="str">
        <f>IF(E104&lt;=G104,"ضخامت ورق مناسب بوده و کا ملا در جهت اطمینان است","ضخامت ورق مناسب نیست")</f>
        <v>ضخامت ورق مناسب بوده و کا ملا در جهت اطمینان است</v>
      </c>
      <c r="H105" s="133"/>
      <c r="I105" s="133"/>
      <c r="J105" s="133"/>
      <c r="K105" s="11"/>
    </row>
    <row r="106" spans="1:11" ht="14.25" customHeight="1">
      <c r="A106" s="11"/>
      <c r="B106" s="11"/>
      <c r="C106" s="11"/>
      <c r="D106" s="11"/>
      <c r="E106" s="11"/>
      <c r="F106" s="11"/>
      <c r="G106" s="133"/>
      <c r="H106" s="133"/>
      <c r="I106" s="133"/>
      <c r="J106" s="133"/>
      <c r="K106" s="11"/>
    </row>
    <row r="107" spans="1:11" ht="14.25" customHeight="1">
      <c r="A107" s="11"/>
      <c r="B107" s="11"/>
      <c r="C107" s="11"/>
      <c r="D107" s="11"/>
      <c r="E107" s="11"/>
      <c r="F107" s="11"/>
      <c r="G107" s="133"/>
      <c r="H107" s="133"/>
      <c r="I107" s="133"/>
      <c r="J107" s="133"/>
      <c r="K107" s="11"/>
    </row>
    <row r="108" spans="1:1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</row>
    <row r="109" spans="1:11" ht="14.25" customHeight="1">
      <c r="A109" s="11"/>
      <c r="B109" s="11"/>
      <c r="C109" s="11"/>
      <c r="D109" s="11"/>
      <c r="E109" s="11"/>
      <c r="F109" s="11"/>
      <c r="G109" s="11"/>
      <c r="H109" s="131" t="s">
        <v>140</v>
      </c>
      <c r="I109" s="131"/>
      <c r="J109" s="131"/>
      <c r="K109" s="11"/>
    </row>
    <row r="110" spans="1:11" ht="14.25" customHeight="1">
      <c r="A110" s="11"/>
      <c r="B110" s="11"/>
      <c r="C110" s="11"/>
      <c r="D110" s="11"/>
      <c r="E110" s="11"/>
      <c r="F110" s="11"/>
      <c r="G110" s="11"/>
      <c r="H110" s="131"/>
      <c r="I110" s="131"/>
      <c r="J110" s="131"/>
      <c r="K110" s="11"/>
    </row>
    <row r="111" spans="1:11" ht="15" customHeight="1">
      <c r="A111" s="11"/>
      <c r="B111" s="11"/>
      <c r="C111" s="91">
        <v>30</v>
      </c>
      <c r="D111" s="68">
        <v>4</v>
      </c>
      <c r="E111" s="11"/>
      <c r="F111" s="69">
        <f>F11</f>
        <v>100</v>
      </c>
      <c r="G111" s="21">
        <f>F15</f>
        <v>5</v>
      </c>
      <c r="H111" s="131"/>
      <c r="I111" s="131"/>
      <c r="J111" s="131"/>
      <c r="K111" s="11"/>
    </row>
    <row r="112" spans="1:1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</row>
    <row r="113" spans="1:1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</row>
    <row r="114" spans="1:1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</row>
    <row r="115" spans="1:1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</row>
    <row r="116" spans="1:1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</row>
    <row r="117" spans="1:1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</row>
    <row r="118" spans="1:1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</row>
    <row r="119" spans="1:1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</row>
    <row r="120" spans="1:12" ht="18.75">
      <c r="A120" s="11"/>
      <c r="B120" s="11"/>
      <c r="C120" s="130" t="s">
        <v>137</v>
      </c>
      <c r="D120" s="130"/>
      <c r="E120" s="56">
        <v>5</v>
      </c>
      <c r="F120" s="11"/>
      <c r="G120" s="11"/>
      <c r="H120" s="11"/>
      <c r="I120" s="11"/>
      <c r="J120" s="11"/>
      <c r="K120" s="11"/>
      <c r="L120" s="87"/>
    </row>
    <row r="121" spans="1:12">
      <c r="A121" s="11"/>
      <c r="B121" s="11"/>
      <c r="C121" s="130"/>
      <c r="D121" s="130"/>
      <c r="E121" s="11"/>
      <c r="F121" s="11"/>
      <c r="G121" s="11"/>
      <c r="H121" s="11"/>
      <c r="I121" s="11"/>
      <c r="J121" s="11"/>
      <c r="K121" s="11"/>
      <c r="L121" s="87"/>
    </row>
    <row r="122" spans="1:12">
      <c r="A122" s="11"/>
      <c r="B122" s="11"/>
      <c r="C122" s="135" t="str">
        <f>IF((C111/2)&lt;16.228,"لاغری در ورق تقویتی کنترل شده است","لاغری در ورق تقویتی کنترل شده است")</f>
        <v>لاغری در ورق تقویتی کنترل شده است</v>
      </c>
      <c r="D122" s="135"/>
      <c r="E122" s="135"/>
      <c r="F122" s="135"/>
      <c r="G122" s="11"/>
      <c r="H122" s="11"/>
      <c r="I122" s="11"/>
      <c r="J122" s="11"/>
      <c r="K122" s="11"/>
      <c r="L122" s="87"/>
    </row>
    <row r="123" spans="1:12">
      <c r="A123" s="11"/>
      <c r="B123" s="11"/>
      <c r="C123" s="135"/>
      <c r="D123" s="135"/>
      <c r="E123" s="135"/>
      <c r="F123" s="135"/>
      <c r="G123" s="11"/>
      <c r="H123" s="11"/>
      <c r="I123" s="11"/>
      <c r="J123" s="11"/>
      <c r="K123" s="11"/>
      <c r="L123" s="87"/>
    </row>
    <row r="124" spans="1:1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87"/>
    </row>
    <row r="125" spans="1:12">
      <c r="A125" s="11"/>
      <c r="B125" s="11"/>
      <c r="C125" s="11">
        <f>((E120*C111*D111*(G111+(C111/2))+(F111*G111*0.5*G111)))/((E120*C111*D111)+(F111*G111))</f>
        <v>12.045454545454545</v>
      </c>
      <c r="D125" s="11" t="s">
        <v>41</v>
      </c>
      <c r="E125" s="11"/>
      <c r="F125" s="11">
        <f>E120*(((D111*C111^3)/12)+(D111*C111*((G111+(0.5*C111)-C125)^2)))+(((F111*G111^3)/12)+(F111*G111*((C125-(0.5*G111))^2)))</f>
        <v>129564.39393939392</v>
      </c>
      <c r="G125" s="11" t="s">
        <v>58</v>
      </c>
      <c r="H125" s="11"/>
      <c r="I125" s="11">
        <f>F125/((G111+C111)-C125)</f>
        <v>5644.3894389438938</v>
      </c>
      <c r="J125" s="11" t="s">
        <v>139</v>
      </c>
      <c r="K125" s="11"/>
      <c r="L125" s="87"/>
    </row>
    <row r="126" spans="1:1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87"/>
    </row>
    <row r="127" spans="1:1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87"/>
    </row>
    <row r="128" spans="1:12">
      <c r="A128" s="11"/>
      <c r="B128" s="69">
        <f>G90</f>
        <v>35</v>
      </c>
      <c r="C128" s="11" t="s">
        <v>41</v>
      </c>
      <c r="D128" s="11"/>
      <c r="E128" s="11"/>
      <c r="F128" s="11"/>
      <c r="G128" s="11">
        <f>F111*0.5*G85*B128^2</f>
        <v>4146811.2</v>
      </c>
      <c r="H128" s="69" t="s">
        <v>110</v>
      </c>
      <c r="I128" s="11"/>
      <c r="J128" s="11"/>
      <c r="K128" s="11"/>
      <c r="L128" s="87"/>
    </row>
    <row r="129" spans="1:1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87"/>
    </row>
    <row r="130" spans="1:1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87"/>
    </row>
    <row r="131" spans="1:12" ht="15.75">
      <c r="A131" s="11"/>
      <c r="B131" s="11"/>
      <c r="C131" s="11"/>
      <c r="D131" s="11"/>
      <c r="E131" s="11">
        <f>G128/I125</f>
        <v>734.67843508259034</v>
      </c>
      <c r="F131" s="11"/>
      <c r="G131" s="69">
        <f>0.6*2400</f>
        <v>1440</v>
      </c>
      <c r="H131" s="11" t="s">
        <v>42</v>
      </c>
      <c r="I131" s="88" t="str">
        <f>IF(E131&lt;=G131,"ok","Not ok")</f>
        <v>ok</v>
      </c>
      <c r="J131" s="11"/>
      <c r="K131" s="11"/>
      <c r="L131" s="87"/>
    </row>
    <row r="132" spans="1:12" ht="14.25" customHeight="1">
      <c r="A132" s="11"/>
      <c r="B132" s="11"/>
      <c r="C132" s="11"/>
      <c r="D132" s="11"/>
      <c r="E132" s="11"/>
      <c r="F132" s="11"/>
      <c r="G132" s="134" t="str">
        <f>IF(E131&lt;=G131,"مقطع سپری در برابر خمش مقاوم است","مقطع سپری جوابگوی خمش نیست")</f>
        <v>مقطع سپری در برابر خمش مقاوم است</v>
      </c>
      <c r="H132" s="134"/>
      <c r="I132" s="134"/>
      <c r="J132" s="134"/>
      <c r="K132" s="11"/>
    </row>
    <row r="133" spans="1:12" ht="14.25" customHeight="1">
      <c r="A133" s="11"/>
      <c r="B133" s="11"/>
      <c r="C133" s="11"/>
      <c r="D133" s="11"/>
      <c r="E133" s="11"/>
      <c r="F133" s="11"/>
      <c r="G133" s="134"/>
      <c r="H133" s="134"/>
      <c r="I133" s="134"/>
      <c r="J133" s="134"/>
      <c r="K133" s="11"/>
    </row>
    <row r="134" spans="1:12" ht="14.25" customHeight="1">
      <c r="A134" s="11"/>
      <c r="B134" s="11"/>
      <c r="C134" s="11"/>
      <c r="D134" s="11"/>
      <c r="E134" s="11"/>
      <c r="F134" s="11"/>
      <c r="G134" s="134"/>
      <c r="H134" s="134"/>
      <c r="I134" s="134"/>
      <c r="J134" s="134"/>
      <c r="K134" s="11"/>
    </row>
    <row r="135" spans="1:12">
      <c r="A135" s="11"/>
      <c r="B135" s="11"/>
      <c r="C135" s="11"/>
      <c r="D135" s="15">
        <f>G85*F111*B128</f>
        <v>236960.64000000001</v>
      </c>
      <c r="E135" s="11" t="s">
        <v>111</v>
      </c>
      <c r="F135" s="11"/>
      <c r="G135" s="11">
        <f>E120*(G111+C111-C125)*D111*(G111+C111-C125)*0.5</f>
        <v>5269.1115702479337</v>
      </c>
      <c r="H135" s="11" t="s">
        <v>139</v>
      </c>
      <c r="I135" s="11"/>
      <c r="J135" s="11"/>
      <c r="K135" s="11"/>
    </row>
    <row r="136" spans="1:1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2" ht="15.75">
      <c r="A138" s="11"/>
      <c r="B138" s="11"/>
      <c r="C138" s="11"/>
      <c r="D138" s="11"/>
      <c r="E138" s="11">
        <f>D135*G135/(E120*D111*F125)</f>
        <v>481.83455807364692</v>
      </c>
      <c r="F138" s="11"/>
      <c r="G138" s="23">
        <v>960</v>
      </c>
      <c r="H138" s="11" t="s">
        <v>53</v>
      </c>
      <c r="I138" s="88" t="str">
        <f>IF(E138&lt;=G138,"ok","Not ok")</f>
        <v>ok</v>
      </c>
      <c r="J138" s="11"/>
      <c r="K138" s="11"/>
    </row>
    <row r="139" spans="1:12">
      <c r="A139" s="11"/>
      <c r="B139" s="11"/>
      <c r="C139" s="11"/>
      <c r="D139" s="11"/>
      <c r="E139" s="11"/>
      <c r="F139" s="11"/>
      <c r="G139" s="134" t="str">
        <f>IF(E131&lt;=G131,"مقطع سپری در برابربرش مقاوم است","مقطع سپری جوابگوی برش نیست")</f>
        <v>مقطع سپری در برابربرش مقاوم است</v>
      </c>
      <c r="H139" s="134"/>
      <c r="I139" s="134"/>
      <c r="J139" s="134"/>
      <c r="K139" s="11"/>
    </row>
    <row r="140" spans="1:12">
      <c r="A140" s="11"/>
      <c r="B140" s="11"/>
      <c r="C140" s="11"/>
      <c r="D140" s="11"/>
      <c r="E140" s="11"/>
      <c r="F140" s="11"/>
      <c r="G140" s="134"/>
      <c r="H140" s="134"/>
      <c r="I140" s="134"/>
      <c r="J140" s="134"/>
      <c r="K140" s="11"/>
    </row>
    <row r="141" spans="1:12">
      <c r="A141" s="11"/>
      <c r="B141" s="11"/>
      <c r="C141" s="11"/>
      <c r="D141" s="11"/>
      <c r="E141" s="11"/>
      <c r="F141" s="11"/>
      <c r="G141" s="134"/>
      <c r="H141" s="134"/>
      <c r="I141" s="134"/>
      <c r="J141" s="134"/>
      <c r="K141" s="11"/>
    </row>
    <row r="142" spans="1:1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2">
      <c r="A143" s="11"/>
      <c r="B143" s="11"/>
      <c r="C143" s="11"/>
      <c r="D143" s="11"/>
      <c r="E143" s="11"/>
      <c r="F143" s="11"/>
      <c r="G143" s="11"/>
      <c r="H143" s="129" t="s">
        <v>141</v>
      </c>
      <c r="I143" s="129"/>
      <c r="J143" s="129"/>
      <c r="K143" s="11"/>
    </row>
    <row r="144" spans="1:12">
      <c r="A144" s="11"/>
      <c r="B144" s="11"/>
      <c r="C144" s="11"/>
      <c r="D144" s="11"/>
      <c r="E144" s="11"/>
      <c r="F144" s="11"/>
      <c r="G144" s="11"/>
      <c r="H144" s="129"/>
      <c r="I144" s="129"/>
      <c r="J144" s="129"/>
      <c r="K144" s="11"/>
    </row>
    <row r="145" spans="1:11">
      <c r="A145" s="11"/>
      <c r="B145" s="11"/>
      <c r="C145" s="11"/>
      <c r="D145" s="11"/>
      <c r="E145" s="11"/>
      <c r="F145" s="11"/>
      <c r="G145" s="11"/>
      <c r="H145" s="129"/>
      <c r="I145" s="129"/>
      <c r="J145" s="129"/>
      <c r="K145" s="11"/>
    </row>
    <row r="146" spans="1:11">
      <c r="A146" s="11"/>
      <c r="B146" s="11"/>
      <c r="C146" s="11">
        <f>D135*(F111*G111*(C125-C102))/F125</f>
        <v>8728.8526940505781</v>
      </c>
      <c r="D146" s="11" t="s">
        <v>142</v>
      </c>
      <c r="E146" s="11"/>
      <c r="F146" s="11"/>
      <c r="G146" s="11">
        <f>0.5*C146*G90</f>
        <v>152754.92214588512</v>
      </c>
      <c r="H146" s="11"/>
      <c r="I146" s="11"/>
      <c r="J146" s="11"/>
      <c r="K146" s="11"/>
    </row>
    <row r="147" spans="1:11" ht="12.7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ht="18" customHeight="1">
      <c r="A148" s="11"/>
      <c r="B148" s="130" t="s">
        <v>143</v>
      </c>
      <c r="C148" s="130"/>
      <c r="D148" s="92">
        <v>60</v>
      </c>
      <c r="E148" s="11"/>
      <c r="F148" s="11"/>
      <c r="G148" s="11"/>
      <c r="H148" s="11"/>
      <c r="I148" s="11"/>
      <c r="J148" s="11"/>
      <c r="K148" s="11"/>
    </row>
    <row r="149" spans="1:11">
      <c r="A149" s="11"/>
      <c r="B149" s="130"/>
      <c r="C149" s="130"/>
      <c r="D149" s="11"/>
      <c r="E149" s="11"/>
      <c r="F149" s="11"/>
      <c r="G149" s="11"/>
      <c r="H149" s="11"/>
      <c r="I149" s="11"/>
      <c r="J149" s="11"/>
      <c r="K149" s="11"/>
    </row>
    <row r="150" spans="1:11">
      <c r="A150" s="11"/>
      <c r="B150" s="11"/>
      <c r="C150" s="11"/>
      <c r="D150" s="11"/>
      <c r="E150" s="11"/>
      <c r="F150" s="11">
        <f>E120*2*0.3*70*D148*0.707*0.75*G90</f>
        <v>233840.25</v>
      </c>
      <c r="G150" s="11"/>
      <c r="H150" s="11">
        <f>D135</f>
        <v>236960.64000000001</v>
      </c>
      <c r="I150" s="11"/>
      <c r="J150" s="11"/>
      <c r="K150" s="11"/>
    </row>
    <row r="151" spans="1:1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ht="15.75">
      <c r="A152" s="11"/>
      <c r="B152" s="11"/>
      <c r="C152" s="11"/>
      <c r="D152" s="11"/>
      <c r="E152" s="11"/>
      <c r="F152" s="11"/>
      <c r="G152" s="11"/>
      <c r="H152" s="11">
        <f>H150/F150</f>
        <v>1.0133441099211962</v>
      </c>
      <c r="I152" s="11"/>
      <c r="J152" s="64">
        <v>1</v>
      </c>
      <c r="K152" s="11"/>
    </row>
    <row r="153" spans="1:11">
      <c r="A153" s="11"/>
      <c r="B153" s="11"/>
      <c r="C153" s="11"/>
      <c r="D153" s="11"/>
      <c r="E153" s="11"/>
      <c r="G153" s="11"/>
      <c r="H153" s="11"/>
      <c r="I153" s="11"/>
      <c r="J153" s="11"/>
      <c r="K153" s="11"/>
    </row>
    <row r="154" spans="1:1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</row>
  </sheetData>
  <mergeCells count="35">
    <mergeCell ref="H143:J145"/>
    <mergeCell ref="B148:C149"/>
    <mergeCell ref="H109:J111"/>
    <mergeCell ref="J90:J91"/>
    <mergeCell ref="G105:J107"/>
    <mergeCell ref="G132:J134"/>
    <mergeCell ref="G139:J141"/>
    <mergeCell ref="C120:D121"/>
    <mergeCell ref="J92:J93"/>
    <mergeCell ref="C122:F123"/>
    <mergeCell ref="H78:J80"/>
    <mergeCell ref="D81:F81"/>
    <mergeCell ref="C23:E23"/>
    <mergeCell ref="A20:B21"/>
    <mergeCell ref="C16:E17"/>
    <mergeCell ref="C18:E19"/>
    <mergeCell ref="A1:J5"/>
    <mergeCell ref="F6:J8"/>
    <mergeCell ref="A10:B11"/>
    <mergeCell ref="C10:E11"/>
    <mergeCell ref="C12:E13"/>
    <mergeCell ref="C14:E15"/>
    <mergeCell ref="B74:E75"/>
    <mergeCell ref="B76:E77"/>
    <mergeCell ref="H46:J46"/>
    <mergeCell ref="H55:J56"/>
    <mergeCell ref="C20:E21"/>
    <mergeCell ref="G67:J70"/>
    <mergeCell ref="A71:C72"/>
    <mergeCell ref="F71:H72"/>
    <mergeCell ref="E41:J42"/>
    <mergeCell ref="B43:K45"/>
    <mergeCell ref="C27:D27"/>
    <mergeCell ref="I29:J30"/>
    <mergeCell ref="H24:J25"/>
  </mergeCells>
  <dataValidations count="4">
    <dataValidation type="list" allowBlank="1" showInputMessage="1" showErrorMessage="1" sqref="D81:F81">
      <formula1>"4L60+4P 150X15,4L60+4P 150X10,4L60+4P 150X5,4L120+4P 300X20,4L120+4P 300X15,4L120+4P 300X10,4L120+4P 200X5,4L120,4l120+4p 300x30"</formula1>
    </dataValidation>
    <dataValidation type="list" allowBlank="1" showInputMessage="1" showErrorMessage="1" sqref="C81">
      <formula1>"IPE,USER"</formula1>
    </dataValidation>
    <dataValidation type="list" allowBlank="1" showInputMessage="1" showErrorMessage="1" sqref="D148">
      <formula1>"60,70,80"</formula1>
    </dataValidation>
    <dataValidation type="list" allowBlank="1" showInputMessage="1" showErrorMessage="1" sqref="C27:D27">
      <formula1>"4L60+4P 150X15,4L60+4P 150X10,4L60+4P 150X5,4L120+4P 300X20,4L120+4P 300X15,4L120+4P 300X10,4L120+4P 200X5,4L120,4l120+4p 300x30"</formula1>
    </dataValidation>
  </dataValidations>
  <pageMargins left="0.7" right="0.7" top="0.75" bottom="0.75" header="0.3" footer="0.3"/>
  <pageSetup orientation="portrait" horizontalDpi="300" verticalDpi="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اشتال</vt:lpstr>
      <vt:lpstr>ستون</vt:lpstr>
      <vt:lpstr>تیر</vt:lpstr>
      <vt:lpstr>طرح تقویت تیر</vt:lpstr>
      <vt:lpstr>تیرستون</vt:lpstr>
      <vt:lpstr>تیرستون با بست موازی</vt:lpstr>
      <vt:lpstr>صفحه ستون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jalil</dc:creator>
  <cp:lastModifiedBy>yazahra</cp:lastModifiedBy>
  <cp:lastPrinted>2002-03-12T02:41:06Z</cp:lastPrinted>
  <dcterms:created xsi:type="dcterms:W3CDTF">2002-03-04T17:55:22Z</dcterms:created>
  <dcterms:modified xsi:type="dcterms:W3CDTF">2013-05-05T15:35:28Z</dcterms:modified>
</cp:coreProperties>
</file>