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3395" windowHeight="5130" firstSheet="3" activeTab="3"/>
  </bookViews>
  <sheets>
    <sheet name="نیروی محوری و برش ستون میانی" sheetId="1" r:id="rId1"/>
    <sheet name="نیروی محوری و برش  ستون کناری" sheetId="2" r:id="rId2"/>
    <sheet name="نیروی محوری و برش  ستون گوشه" sheetId="14" r:id="rId3"/>
    <sheet name="کرومیت" sheetId="10" r:id="rId4"/>
  </sheets>
  <definedNames>
    <definedName name="G">#REF!</definedName>
    <definedName name="I">#REF!</definedName>
    <definedName name="IPE">#REF!</definedName>
    <definedName name="p">#REF!</definedName>
    <definedName name="Z">#REF!</definedName>
    <definedName name="چهارده">#REF!</definedName>
  </definedNames>
  <calcPr calcId="144525"/>
</workbook>
</file>

<file path=xl/calcChain.xml><?xml version="1.0" encoding="utf-8"?>
<calcChain xmlns="http://schemas.openxmlformats.org/spreadsheetml/2006/main">
  <c r="F81" i="10" l="1"/>
  <c r="E79" i="10"/>
  <c r="E52" i="10"/>
  <c r="E76" i="10"/>
  <c r="E77" i="10" s="1"/>
  <c r="H71" i="10"/>
  <c r="H73" i="10"/>
  <c r="H74" i="10" s="1"/>
  <c r="H72" i="10"/>
  <c r="E71" i="10"/>
  <c r="E73" i="10"/>
  <c r="E69" i="10"/>
  <c r="F69" i="10" s="1"/>
  <c r="E21" i="10"/>
  <c r="E22" i="10"/>
  <c r="E30" i="10"/>
  <c r="H75" i="10" l="1"/>
  <c r="H76" i="10" s="1"/>
  <c r="F53" i="10"/>
  <c r="E80" i="10"/>
  <c r="F82" i="10" s="1"/>
  <c r="E72" i="10" l="1"/>
  <c r="E74" i="10" s="1"/>
  <c r="F73" i="10" s="1"/>
  <c r="E53" i="10"/>
  <c r="E54" i="10"/>
  <c r="E55" i="10" s="1"/>
  <c r="F71" i="10"/>
  <c r="E56" i="10" l="1"/>
  <c r="E68" i="10"/>
  <c r="F68" i="10" s="1"/>
  <c r="E64" i="10"/>
  <c r="E66" i="10"/>
  <c r="F66" i="10" s="1"/>
  <c r="E57" i="10"/>
  <c r="E60" i="10" l="1"/>
  <c r="F60" i="10" s="1"/>
  <c r="E59" i="10"/>
  <c r="F59" i="10" s="1"/>
  <c r="E37" i="10"/>
  <c r="E36" i="10"/>
  <c r="E47" i="10" s="1"/>
  <c r="E35" i="10"/>
  <c r="E34" i="10"/>
  <c r="E41" i="10" l="1"/>
  <c r="E42" i="10" s="1"/>
  <c r="F47" i="10"/>
  <c r="F46" i="10"/>
  <c r="E48" i="10" s="1"/>
  <c r="E33" i="10"/>
  <c r="E63" i="10" l="1"/>
  <c r="E65" i="10" s="1"/>
  <c r="F65" i="10" s="1"/>
  <c r="E43" i="10"/>
  <c r="E44" i="10"/>
  <c r="E61" i="10" l="1"/>
  <c r="F61" i="10" s="1"/>
  <c r="E20" i="10" l="1"/>
  <c r="E25" i="10" s="1"/>
  <c r="E19" i="10"/>
  <c r="F57" i="10" s="1"/>
  <c r="E24" i="10" l="1"/>
  <c r="E49" i="10"/>
  <c r="F49" i="10" s="1"/>
  <c r="E50" i="10"/>
  <c r="F50" i="10" s="1"/>
  <c r="C52" i="14"/>
  <c r="C50" i="14"/>
  <c r="C54" i="14" s="1"/>
  <c r="C47" i="14"/>
  <c r="C41" i="14"/>
  <c r="C43" i="14" s="1"/>
  <c r="C44" i="14" s="1"/>
  <c r="C31" i="14"/>
  <c r="C33" i="14" s="1"/>
  <c r="C34" i="14" s="1"/>
  <c r="C21" i="14"/>
  <c r="C19" i="14"/>
  <c r="C18" i="14"/>
  <c r="C17" i="14"/>
  <c r="C16" i="14"/>
  <c r="C24" i="14" s="1"/>
  <c r="C8" i="14"/>
  <c r="C9" i="14" s="1"/>
  <c r="C22" i="14" l="1"/>
  <c r="C23" i="14"/>
  <c r="C51" i="14"/>
  <c r="C50" i="2"/>
  <c r="C47" i="1"/>
  <c r="C17" i="2"/>
  <c r="C16" i="2"/>
  <c r="C52" i="2"/>
  <c r="C54" i="2"/>
  <c r="C47" i="2"/>
  <c r="C41" i="2"/>
  <c r="C43" i="2"/>
  <c r="C44" i="2"/>
  <c r="C31" i="2"/>
  <c r="C33" i="2"/>
  <c r="C34" i="2"/>
  <c r="C21" i="2"/>
  <c r="D22" i="2" s="1"/>
  <c r="C19" i="2"/>
  <c r="C18" i="2"/>
  <c r="C8" i="2"/>
  <c r="C9" i="2"/>
  <c r="C24" i="2"/>
  <c r="C23" i="2"/>
  <c r="C22" i="2"/>
  <c r="C51" i="2"/>
  <c r="C49" i="1"/>
  <c r="C48" i="1"/>
  <c r="C50" i="1"/>
  <c r="C44" i="1"/>
  <c r="D48" i="1"/>
  <c r="C51" i="1"/>
  <c r="D51" i="1"/>
  <c r="C27" i="2"/>
  <c r="C35" i="2"/>
  <c r="D35" i="2"/>
  <c r="C37" i="2"/>
  <c r="C45" i="2"/>
  <c r="D45" i="2"/>
  <c r="C53" i="2"/>
  <c r="D54" i="2"/>
  <c r="D51" i="2"/>
  <c r="C38" i="1"/>
  <c r="C28" i="1"/>
  <c r="C40" i="1"/>
  <c r="C41" i="1"/>
  <c r="C21" i="1"/>
  <c r="C18" i="1"/>
  <c r="C17" i="1"/>
  <c r="C8" i="1"/>
  <c r="C20" i="1"/>
  <c r="D21" i="1" s="1"/>
  <c r="C30" i="1"/>
  <c r="C31" i="1"/>
  <c r="C24" i="1"/>
  <c r="C32" i="1"/>
  <c r="D32" i="1"/>
  <c r="C34" i="1"/>
  <c r="C42" i="1"/>
  <c r="D42" i="1"/>
  <c r="C9" i="1"/>
  <c r="C13" i="1" s="1"/>
  <c r="C14" i="1" s="1"/>
  <c r="C53" i="14" l="1"/>
  <c r="D54" i="14" s="1"/>
  <c r="D51" i="14"/>
  <c r="D22" i="14"/>
  <c r="C27" i="14"/>
  <c r="C35" i="14" s="1"/>
  <c r="D35" i="14" s="1"/>
  <c r="C37" i="14"/>
  <c r="C45" i="14" s="1"/>
  <c r="D45" i="14" s="1"/>
</calcChain>
</file>

<file path=xl/comments1.xml><?xml version="1.0" encoding="utf-8"?>
<comments xmlns="http://schemas.openxmlformats.org/spreadsheetml/2006/main">
  <authors>
    <author>taha</author>
  </authors>
  <commentList>
    <comment ref="A81" authorId="0">
      <text>
        <r>
          <rPr>
            <b/>
            <sz val="9"/>
            <color indexed="81"/>
            <rFont val="Tahoma"/>
            <family val="2"/>
          </rPr>
          <t>taha:</t>
        </r>
        <r>
          <rPr>
            <sz val="9"/>
            <color indexed="81"/>
            <rFont val="Tahoma"/>
            <family val="2"/>
          </rPr>
          <t xml:space="preserve">
حداقل آرماتور نمره 12</t>
        </r>
      </text>
    </comment>
  </commentList>
</comments>
</file>

<file path=xl/sharedStrings.xml><?xml version="1.0" encoding="utf-8"?>
<sst xmlns="http://schemas.openxmlformats.org/spreadsheetml/2006/main" count="418" uniqueCount="189">
  <si>
    <t>ارتفاع</t>
  </si>
  <si>
    <t>عرض بیس پلیت</t>
  </si>
  <si>
    <t>ضخامت بیس پلیت</t>
  </si>
  <si>
    <t>ارتفاع مرکز سطح</t>
  </si>
  <si>
    <t>ممان اینرسی مقطع</t>
  </si>
  <si>
    <t>تنش خمشی حول محور خنثی</t>
  </si>
  <si>
    <t xml:space="preserve">برش </t>
  </si>
  <si>
    <t>تعداد ورق سخت کننده</t>
  </si>
  <si>
    <t>مقاومت 28 روزه بتن پی</t>
  </si>
  <si>
    <t>تنش تسلیم فولاد</t>
  </si>
  <si>
    <t>نیروی محوری فشاری</t>
  </si>
  <si>
    <t>نیروی محوری کششی</t>
  </si>
  <si>
    <t>F_p=0.6×〖f'〗_c</t>
  </si>
  <si>
    <t>تنش اتکایی مجاز بتن پی</t>
  </si>
  <si>
    <t>مساحت ورق بیس پلیت</t>
  </si>
  <si>
    <t>BD</t>
  </si>
  <si>
    <t xml:space="preserve">b </t>
  </si>
  <si>
    <t>d</t>
  </si>
  <si>
    <t>بال ستون</t>
  </si>
  <si>
    <t>ارتفاع ستون</t>
  </si>
  <si>
    <t>D اجرایی</t>
  </si>
  <si>
    <t>B اجرایی</t>
  </si>
  <si>
    <t>D محاسبه</t>
  </si>
  <si>
    <t>B محاسبه</t>
  </si>
  <si>
    <t>m</t>
  </si>
  <si>
    <t>n</t>
  </si>
  <si>
    <t>مساحت پی هم مرکز با بیس پلیت</t>
  </si>
  <si>
    <t>P/BD</t>
  </si>
  <si>
    <t>تنش زیر کف ستون</t>
  </si>
  <si>
    <t xml:space="preserve"> لنگر در فاصله m</t>
  </si>
  <si>
    <t xml:space="preserve"> لنگر در فاصله n</t>
  </si>
  <si>
    <t>ضخامت سخت کننده</t>
  </si>
  <si>
    <t>I</t>
  </si>
  <si>
    <t>fb</t>
  </si>
  <si>
    <t>t</t>
  </si>
  <si>
    <t>مساحت میل مهار های کششی</t>
  </si>
  <si>
    <t>As</t>
  </si>
  <si>
    <t>N</t>
  </si>
  <si>
    <t>قطر میلگرد</t>
  </si>
  <si>
    <t>تنش گسیختگی آرماتور ها</t>
  </si>
  <si>
    <t>Fu</t>
  </si>
  <si>
    <t>Fy</t>
  </si>
  <si>
    <t>fc</t>
  </si>
  <si>
    <t>تنش برشی</t>
  </si>
  <si>
    <t>fv</t>
  </si>
  <si>
    <t xml:space="preserve">مساحت </t>
  </si>
  <si>
    <t>تنش برشی مجاز</t>
  </si>
  <si>
    <t>Fv</t>
  </si>
  <si>
    <t>Ft</t>
  </si>
  <si>
    <t>تنش کششی مجاز توام با برش</t>
  </si>
  <si>
    <t xml:space="preserve">تنش کششی  </t>
  </si>
  <si>
    <t>ft</t>
  </si>
  <si>
    <t>فاصله مرکز ستون تا لبه بیس پلیت</t>
  </si>
  <si>
    <t>خروج از مرکزیت</t>
  </si>
  <si>
    <t>e</t>
  </si>
  <si>
    <t>کنترل خروج از مرکزیت</t>
  </si>
  <si>
    <t>D/6</t>
  </si>
  <si>
    <t>تنش بیشینه زیر کف ستون</t>
  </si>
  <si>
    <t>fp max</t>
  </si>
  <si>
    <t>fp min</t>
  </si>
  <si>
    <t>fp n</t>
  </si>
  <si>
    <t>تنش کمینه زیر کف ستون</t>
  </si>
  <si>
    <t>تنش در مقطع n</t>
  </si>
  <si>
    <t xml:space="preserve">تعداد </t>
  </si>
  <si>
    <t>مساحت مورد نیاز برای میل مهار های کششی</t>
  </si>
  <si>
    <t>مقاومت 28 روزه بتن</t>
  </si>
  <si>
    <t>مقاومت مشخصه آرماتور برشی</t>
  </si>
  <si>
    <t>kg/cm2</t>
  </si>
  <si>
    <t>cm</t>
  </si>
  <si>
    <t>تعداد آرماتور</t>
  </si>
  <si>
    <t>Imin</t>
  </si>
  <si>
    <t>rmin</t>
  </si>
  <si>
    <t>ey</t>
  </si>
  <si>
    <t>A</t>
  </si>
  <si>
    <t>شماره نبشي</t>
  </si>
  <si>
    <t>مشخصات مصالح</t>
  </si>
  <si>
    <t xml:space="preserve">طول دهانه مؤثر </t>
  </si>
  <si>
    <t xml:space="preserve">فاصله محور تا محور تیرچه ها </t>
  </si>
  <si>
    <t>مقاومت مشخصه آرماتور تقویت</t>
  </si>
  <si>
    <t>fy</t>
  </si>
  <si>
    <t xml:space="preserve">ارتفاع تیرچه </t>
  </si>
  <si>
    <t>ضخامت کل سقف</t>
  </si>
  <si>
    <t>ابعاد</t>
  </si>
  <si>
    <t>بارگزاری</t>
  </si>
  <si>
    <t xml:space="preserve">بار مرده تیرچه بلوک و بتن قبل از گیرش </t>
  </si>
  <si>
    <t>بار مرده عوامل اجرایی</t>
  </si>
  <si>
    <t xml:space="preserve">بار زنده </t>
  </si>
  <si>
    <t>کل بار مرده سقف پس از گیرش بتن</t>
  </si>
  <si>
    <t>kg/m2</t>
  </si>
  <si>
    <t>محاسبه بارهای وارده</t>
  </si>
  <si>
    <t>لنگر ماکسیمم قبل از گیرش بتن</t>
  </si>
  <si>
    <t>لنگر ماکسیمم بعد از گیرش بتن</t>
  </si>
  <si>
    <t>kg.m</t>
  </si>
  <si>
    <t>حدس اولیه ي مقطع فولادي</t>
  </si>
  <si>
    <t>تعیین مشخصات هندسی تیرچه</t>
  </si>
  <si>
    <t>مساحت بال بالا</t>
  </si>
  <si>
    <t>مساحت بال پایین</t>
  </si>
  <si>
    <t>At</t>
  </si>
  <si>
    <t>Ab</t>
  </si>
  <si>
    <t>cm2</t>
  </si>
  <si>
    <t>عرض ورق پایین</t>
  </si>
  <si>
    <t>ضخامت ورق پایین</t>
  </si>
  <si>
    <t>شماره آرماتور تقویت پایین</t>
  </si>
  <si>
    <t>شماره نبشی فوقانی</t>
  </si>
  <si>
    <t>شماره آرماتور تقویت فوقانی</t>
  </si>
  <si>
    <t>mm</t>
  </si>
  <si>
    <t>مشخصات مقطع قبل از گرفتن بتن</t>
  </si>
  <si>
    <t>r min</t>
  </si>
  <si>
    <t>Ix</t>
  </si>
  <si>
    <t>مشخصات نبشی</t>
  </si>
  <si>
    <t>cm4</t>
  </si>
  <si>
    <t>مساحت بال فوقانی</t>
  </si>
  <si>
    <t>فاصله ي تار خنثی</t>
  </si>
  <si>
    <t>ممان اینرسی</t>
  </si>
  <si>
    <t>اساس مقطع نسبت به بال فوقانی</t>
  </si>
  <si>
    <t>اساس مقطع نسبت به بال تحتانی</t>
  </si>
  <si>
    <t>St</t>
  </si>
  <si>
    <t>Sb</t>
  </si>
  <si>
    <t>کنترل تنش قبل از گرفتن بتن</t>
  </si>
  <si>
    <t>تنش موجود در بال فوقانی</t>
  </si>
  <si>
    <t>تنش موجود در بال تحتانی</t>
  </si>
  <si>
    <t>f</t>
  </si>
  <si>
    <t>مشخصات مقطع بعد از گرفتن بتن</t>
  </si>
  <si>
    <t>be</t>
  </si>
  <si>
    <t>Ӯ</t>
  </si>
  <si>
    <t>عرض مؤثر مقطع فلزی معادل</t>
  </si>
  <si>
    <t>cm3</t>
  </si>
  <si>
    <t>فاصله ی تار خنثی در مقطع مختلط</t>
  </si>
  <si>
    <t>ممان اینرسی مقطع معادل</t>
  </si>
  <si>
    <t>ضخامت دال بتنی</t>
  </si>
  <si>
    <t>کنترل تنش بعد از گرفتن بتن</t>
  </si>
  <si>
    <t>لنگر ماکسیمم ناشی از بار زنده</t>
  </si>
  <si>
    <t>w1</t>
  </si>
  <si>
    <t>w2</t>
  </si>
  <si>
    <t>w3</t>
  </si>
  <si>
    <t>w4</t>
  </si>
  <si>
    <t>M1</t>
  </si>
  <si>
    <t>M2</t>
  </si>
  <si>
    <t>M3</t>
  </si>
  <si>
    <t>ML</t>
  </si>
  <si>
    <t>لنگر ماکسیمم بدون احتساب بار اجرا و وزن سقف</t>
  </si>
  <si>
    <t>تنش موجود در بال فوقانی بعد از گرفتن بتن</t>
  </si>
  <si>
    <t>تنش مؤثر در بتن</t>
  </si>
  <si>
    <t>fte</t>
  </si>
  <si>
    <t>کنترل تغییر مکان</t>
  </si>
  <si>
    <t>تغییر مکان ناشی از بار قبل از گرفتن بتن</t>
  </si>
  <si>
    <t>D1</t>
  </si>
  <si>
    <t>D2</t>
  </si>
  <si>
    <t>تغییر مکان ناشی از بار بعد از گرفتن بتن</t>
  </si>
  <si>
    <t>تغییر مکان نهایی</t>
  </si>
  <si>
    <t>تغییر مکان تحت بار زنده</t>
  </si>
  <si>
    <t>D3</t>
  </si>
  <si>
    <t>کنترل لرزش کف</t>
  </si>
  <si>
    <t>فرکانس</t>
  </si>
  <si>
    <t>HZ</t>
  </si>
  <si>
    <t>نسبت ارتفاع به دهانه</t>
  </si>
  <si>
    <t>---</t>
  </si>
  <si>
    <t>d/L</t>
  </si>
  <si>
    <t>kg</t>
  </si>
  <si>
    <t>Dt</t>
  </si>
  <si>
    <t>شماره میلگرد خرپایی</t>
  </si>
  <si>
    <t>طول گام میلگرد خرپایی</t>
  </si>
  <si>
    <t>ظرفیت برشی مقطع بعد از گرفتن بتن</t>
  </si>
  <si>
    <t xml:space="preserve">کنترل برش </t>
  </si>
  <si>
    <t>برش حداکثر در تکیه گاه بعد از گرفتن بتن</t>
  </si>
  <si>
    <t>برش حداکثر در تکیه گاه قبل از گرفتن بتن</t>
  </si>
  <si>
    <t>ظرفیت برشی مقطع قبل از گرفتن بتن</t>
  </si>
  <si>
    <t>Ld</t>
  </si>
  <si>
    <t>r</t>
  </si>
  <si>
    <t>λ</t>
  </si>
  <si>
    <t>α</t>
  </si>
  <si>
    <t>β</t>
  </si>
  <si>
    <t>مشخصات میلگرد خرپایی</t>
  </si>
  <si>
    <t>محاسبه جوش میلگرد خرپایی به ورق</t>
  </si>
  <si>
    <t>نیروی وارد بر هر نقطه اتصال میلگرد به ورق</t>
  </si>
  <si>
    <t>طول جوش در هر نقطه</t>
  </si>
  <si>
    <t>فاصله مهار های جانبی</t>
  </si>
  <si>
    <t>تنش فشاری مجاز بال فوقانی</t>
  </si>
  <si>
    <t>Fa</t>
  </si>
  <si>
    <t>Lr</t>
  </si>
  <si>
    <t>ضریب لاغری بال فوقانی</t>
  </si>
  <si>
    <t>-----</t>
  </si>
  <si>
    <t>محاسبه کلاف میانی</t>
  </si>
  <si>
    <t>تعداد کلاف میانی مورد نیاز</t>
  </si>
  <si>
    <t>مساحت فولاد مورد نیاز</t>
  </si>
  <si>
    <t>شماره آرماتور</t>
  </si>
  <si>
    <t>تعیین موقعیت تار خنثی در مقطع مختلط</t>
  </si>
  <si>
    <t>------</t>
  </si>
  <si>
    <t>محاسبه تیرچه کرمیت به روش تنش مجاز ASD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</si>
</sst>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sz val="10"/>
      <name val="B Nazanin"/>
      <charset val="178"/>
    </font>
    <font>
      <sz val="14"/>
      <color theme="1"/>
      <name val="B Nazanin"/>
      <charset val="178"/>
    </font>
    <font>
      <sz val="11"/>
      <color theme="1"/>
      <name val="B Nazanin"/>
      <charset val="178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B Nazanin"/>
      <charset val="178"/>
    </font>
    <font>
      <sz val="9"/>
      <color rgb="FFFF0000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/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right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0" fillId="0" borderId="0" xfId="0" applyBorder="1" applyAlignment="1"/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5" xfId="0" quotePrefix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1" fontId="0" fillId="7" borderId="1" xfId="0" applyNumberForma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" fontId="0" fillId="7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165" fontId="0" fillId="7" borderId="6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quotePrefix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" fontId="0" fillId="7" borderId="6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5" fillId="0" borderId="5" xfId="0" applyFont="1" applyBorder="1" applyAlignment="1"/>
    <xf numFmtId="0" fontId="0" fillId="0" borderId="5" xfId="0" applyBorder="1" applyAlignment="1">
      <alignment horizontal="center" vertical="center"/>
    </xf>
    <xf numFmtId="164" fontId="0" fillId="7" borderId="6" xfId="0" applyNumberFormat="1" applyFill="1" applyBorder="1" applyAlignment="1">
      <alignment horizontal="center" vertical="center"/>
    </xf>
    <xf numFmtId="2" fontId="0" fillId="7" borderId="5" xfId="0" applyNumberFormat="1" applyFill="1" applyBorder="1" applyAlignment="1">
      <alignment horizontal="center" vertical="center"/>
    </xf>
    <xf numFmtId="164" fontId="0" fillId="7" borderId="5" xfId="0" applyNumberForma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0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2" fontId="0" fillId="7" borderId="6" xfId="0" applyNumberFormat="1" applyFill="1" applyBorder="1" applyAlignment="1">
      <alignment horizontal="center" vertical="center"/>
    </xf>
    <xf numFmtId="1" fontId="0" fillId="3" borderId="5" xfId="0" applyNumberFormat="1" applyFill="1" applyBorder="1" applyAlignment="1" applyProtection="1">
      <alignment horizontal="center" vertical="center"/>
      <protection locked="0"/>
    </xf>
    <xf numFmtId="1" fontId="0" fillId="3" borderId="6" xfId="0" applyNumberForma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0" fillId="7" borderId="11" xfId="0" applyNumberForma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quotePrefix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5" fillId="0" borderId="5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/>
    </xf>
    <xf numFmtId="0" fontId="5" fillId="0" borderId="5" xfId="0" applyFont="1" applyBorder="1" applyAlignment="1">
      <alignment horizontal="right" vertical="center" wrapText="1"/>
    </xf>
    <xf numFmtId="0" fontId="5" fillId="0" borderId="1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11" fillId="0" borderId="9" xfId="0" applyFont="1" applyBorder="1" applyAlignment="1">
      <alignment horizontal="center"/>
    </xf>
    <xf numFmtId="0" fontId="5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32148</xdr:colOff>
      <xdr:row>26</xdr:row>
      <xdr:rowOff>9524</xdr:rowOff>
    </xdr:from>
    <xdr:to>
      <xdr:col>9</xdr:col>
      <xdr:colOff>19051</xdr:colOff>
      <xdr:row>38</xdr:row>
      <xdr:rowOff>219074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9955949" y="7143749"/>
          <a:ext cx="2044303" cy="2962275"/>
        </a:xfrm>
        <a:prstGeom prst="rect">
          <a:avLst/>
        </a:prstGeom>
        <a:ln w="28575">
          <a:solidFill>
            <a:sysClr val="windowText" lastClr="000000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6</xdr:col>
      <xdr:colOff>8236</xdr:colOff>
      <xdr:row>50</xdr:row>
      <xdr:rowOff>9525</xdr:rowOff>
    </xdr:from>
    <xdr:to>
      <xdr:col>14</xdr:col>
      <xdr:colOff>1</xdr:colOff>
      <xdr:row>57</xdr:row>
      <xdr:rowOff>276225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6545999" y="12792075"/>
          <a:ext cx="5478165" cy="2133600"/>
        </a:xfrm>
        <a:prstGeom prst="rect">
          <a:avLst/>
        </a:prstGeom>
        <a:ln w="28575">
          <a:solidFill>
            <a:sysClr val="windowText" lastClr="000000"/>
          </a:solidFill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6</xdr:col>
      <xdr:colOff>23131</xdr:colOff>
      <xdr:row>2</xdr:row>
      <xdr:rowOff>9525</xdr:rowOff>
    </xdr:from>
    <xdr:to>
      <xdr:col>14</xdr:col>
      <xdr:colOff>0</xdr:colOff>
      <xdr:row>17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6546000" y="657225"/>
          <a:ext cx="5463269" cy="3581400"/>
        </a:xfrm>
        <a:prstGeom prst="rect">
          <a:avLst/>
        </a:prstGeom>
        <a:ln w="19050">
          <a:solidFill>
            <a:srgbClr val="00206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3"/>
  <sheetViews>
    <sheetView rightToLeft="1" workbookViewId="0">
      <selection activeCell="C3" sqref="C3"/>
    </sheetView>
  </sheetViews>
  <sheetFormatPr defaultRowHeight="15"/>
  <cols>
    <col min="1" max="1" width="22" customWidth="1"/>
    <col min="2" max="2" width="14.42578125" style="1" customWidth="1"/>
    <col min="3" max="3" width="9.42578125" customWidth="1"/>
  </cols>
  <sheetData>
    <row r="1" spans="1:4">
      <c r="A1" s="3" t="s">
        <v>9</v>
      </c>
      <c r="B1" s="4" t="s">
        <v>41</v>
      </c>
      <c r="C1" s="4">
        <v>2400</v>
      </c>
      <c r="D1" s="5"/>
    </row>
    <row r="2" spans="1:4">
      <c r="A2" s="3" t="s">
        <v>39</v>
      </c>
      <c r="B2" s="4" t="s">
        <v>40</v>
      </c>
      <c r="C2" s="4">
        <v>6000</v>
      </c>
      <c r="D2" s="5"/>
    </row>
    <row r="3" spans="1:4">
      <c r="A3" s="3" t="s">
        <v>8</v>
      </c>
      <c r="B3" s="4" t="s">
        <v>42</v>
      </c>
      <c r="C3" s="4">
        <v>240</v>
      </c>
      <c r="D3" s="5"/>
    </row>
    <row r="4" spans="1:4">
      <c r="A4" s="3" t="s">
        <v>10</v>
      </c>
      <c r="B4" s="4"/>
      <c r="C4" s="4">
        <v>297461</v>
      </c>
      <c r="D4" s="5"/>
    </row>
    <row r="5" spans="1:4">
      <c r="A5" s="3" t="s">
        <v>11</v>
      </c>
      <c r="B5" s="4"/>
      <c r="C5" s="4">
        <v>205139</v>
      </c>
      <c r="D5" s="5"/>
    </row>
    <row r="6" spans="1:4">
      <c r="A6" s="3" t="s">
        <v>6</v>
      </c>
      <c r="B6" s="4"/>
      <c r="C6" s="4">
        <v>32717</v>
      </c>
      <c r="D6" s="5"/>
    </row>
    <row r="7" spans="1:4">
      <c r="A7" s="3" t="s">
        <v>6</v>
      </c>
      <c r="B7" s="4"/>
      <c r="C7" s="4">
        <v>0</v>
      </c>
      <c r="D7" s="5"/>
    </row>
    <row r="8" spans="1:4">
      <c r="A8" s="3" t="s">
        <v>13</v>
      </c>
      <c r="B8" s="4" t="s">
        <v>12</v>
      </c>
      <c r="C8" s="6">
        <f>0.6*C3</f>
        <v>144</v>
      </c>
      <c r="D8" s="5"/>
    </row>
    <row r="9" spans="1:4">
      <c r="A9" s="3" t="s">
        <v>14</v>
      </c>
      <c r="B9" s="4" t="s">
        <v>15</v>
      </c>
      <c r="C9" s="6">
        <f>C4/C8</f>
        <v>2065.7013888888887</v>
      </c>
      <c r="D9" s="5"/>
    </row>
    <row r="10" spans="1:4">
      <c r="A10" s="3"/>
      <c r="B10" s="4"/>
      <c r="C10" s="7"/>
      <c r="D10" s="5"/>
    </row>
    <row r="11" spans="1:4">
      <c r="A11" s="3" t="s">
        <v>18</v>
      </c>
      <c r="B11" s="4" t="s">
        <v>16</v>
      </c>
      <c r="C11" s="7">
        <v>24</v>
      </c>
      <c r="D11" s="5"/>
    </row>
    <row r="12" spans="1:4">
      <c r="A12" s="3" t="s">
        <v>19</v>
      </c>
      <c r="B12" s="4" t="s">
        <v>17</v>
      </c>
      <c r="C12" s="7">
        <v>27.2</v>
      </c>
      <c r="D12" s="5"/>
    </row>
    <row r="13" spans="1:4">
      <c r="A13" s="3" t="s">
        <v>22</v>
      </c>
      <c r="B13" s="4"/>
      <c r="C13" s="6">
        <f>(-(0.95*C12-0.8*C11)+((0.95*C12-0.8*C11)^2-4*-C9)^0.5)/2</f>
        <v>42.251085008905463</v>
      </c>
      <c r="D13" s="5"/>
    </row>
    <row r="14" spans="1:4">
      <c r="A14" s="3" t="s">
        <v>23</v>
      </c>
      <c r="B14" s="4"/>
      <c r="C14" s="6">
        <f>C13+0.95*C12-0.8*C11</f>
        <v>48.891085008905463</v>
      </c>
      <c r="D14" s="5"/>
    </row>
    <row r="15" spans="1:4">
      <c r="A15" s="3" t="s">
        <v>20</v>
      </c>
      <c r="B15" s="4"/>
      <c r="C15" s="4">
        <v>55</v>
      </c>
      <c r="D15" s="5"/>
    </row>
    <row r="16" spans="1:4">
      <c r="A16" s="3" t="s">
        <v>21</v>
      </c>
      <c r="B16" s="4"/>
      <c r="C16" s="4">
        <v>55</v>
      </c>
      <c r="D16" s="5"/>
    </row>
    <row r="17" spans="1:11">
      <c r="A17" s="3" t="s">
        <v>24</v>
      </c>
      <c r="B17" s="4"/>
      <c r="C17" s="6">
        <f>(C16-0.95*C12)/2</f>
        <v>14.58</v>
      </c>
      <c r="D17" s="5"/>
    </row>
    <row r="18" spans="1:11">
      <c r="A18" s="3" t="s">
        <v>25</v>
      </c>
      <c r="B18" s="4"/>
      <c r="C18" s="6">
        <f>(C15-0.8*C11)/2</f>
        <v>17.899999999999999</v>
      </c>
      <c r="D18" s="5"/>
    </row>
    <row r="19" spans="1:11">
      <c r="A19" s="3" t="s">
        <v>26</v>
      </c>
      <c r="B19" s="4"/>
      <c r="C19" s="4">
        <v>10000</v>
      </c>
      <c r="D19" s="5"/>
    </row>
    <row r="20" spans="1:11">
      <c r="A20" s="3" t="s">
        <v>13</v>
      </c>
      <c r="B20" s="4"/>
      <c r="C20" s="6">
        <f>MIN(C8,0.6*(C19/C15/C16)^0.5*C3)</f>
        <v>144</v>
      </c>
      <c r="D20" s="5"/>
    </row>
    <row r="21" spans="1:11">
      <c r="A21" s="3" t="s">
        <v>28</v>
      </c>
      <c r="B21" s="4" t="s">
        <v>27</v>
      </c>
      <c r="C21" s="6">
        <f>C4/C15/C16</f>
        <v>98.334214876033045</v>
      </c>
      <c r="D21" s="4" t="str">
        <f>IF(C21&lt;C20,"OK","NOT OK")</f>
        <v>OK</v>
      </c>
    </row>
    <row r="22" spans="1:11">
      <c r="A22" s="3"/>
      <c r="B22" s="4"/>
      <c r="C22" s="5"/>
      <c r="D22" s="5"/>
    </row>
    <row r="23" spans="1:11">
      <c r="A23" s="11"/>
      <c r="B23" s="12"/>
      <c r="C23" s="13"/>
      <c r="D23" s="13"/>
    </row>
    <row r="24" spans="1:11">
      <c r="A24" s="3" t="s">
        <v>29</v>
      </c>
      <c r="B24" s="4"/>
      <c r="C24" s="6">
        <f>0.5*C21*C15*C17^2</f>
        <v>574847.16836727271</v>
      </c>
      <c r="D24" s="5"/>
    </row>
    <row r="25" spans="1:11">
      <c r="A25" s="3" t="s">
        <v>7</v>
      </c>
      <c r="B25" s="4"/>
      <c r="C25" s="4">
        <v>2</v>
      </c>
      <c r="D25" s="4"/>
      <c r="E25" s="1"/>
      <c r="F25" s="1"/>
      <c r="G25" s="1"/>
      <c r="H25" s="1"/>
      <c r="I25" s="1"/>
      <c r="J25" s="1"/>
      <c r="K25" s="1"/>
    </row>
    <row r="26" spans="1:11">
      <c r="A26" s="3" t="s">
        <v>31</v>
      </c>
      <c r="B26" s="4"/>
      <c r="C26" s="4">
        <v>1.2</v>
      </c>
      <c r="D26" s="4"/>
      <c r="E26" s="1"/>
      <c r="F26" s="1"/>
      <c r="G26" s="1"/>
      <c r="H26" s="1"/>
      <c r="I26" s="1"/>
      <c r="J26" s="1"/>
      <c r="K26" s="1"/>
    </row>
    <row r="27" spans="1:11">
      <c r="A27" s="3" t="s">
        <v>0</v>
      </c>
      <c r="B27" s="4"/>
      <c r="C27" s="4">
        <v>20</v>
      </c>
      <c r="D27" s="4"/>
      <c r="E27" s="1"/>
      <c r="F27" s="1"/>
      <c r="G27" s="1"/>
      <c r="H27" s="1"/>
      <c r="I27" s="1"/>
      <c r="J27" s="1"/>
      <c r="K27" s="1"/>
    </row>
    <row r="28" spans="1:11">
      <c r="A28" s="3" t="s">
        <v>1</v>
      </c>
      <c r="B28" s="4"/>
      <c r="C28" s="6">
        <f>C15</f>
        <v>55</v>
      </c>
      <c r="D28" s="4"/>
      <c r="E28" s="1"/>
      <c r="F28" s="1"/>
      <c r="G28" s="1"/>
      <c r="H28" s="1"/>
      <c r="I28" s="1"/>
      <c r="J28" s="1"/>
      <c r="K28" s="1"/>
    </row>
    <row r="29" spans="1:11">
      <c r="A29" s="3" t="s">
        <v>2</v>
      </c>
      <c r="B29" s="4" t="s">
        <v>34</v>
      </c>
      <c r="C29" s="4">
        <v>2</v>
      </c>
      <c r="D29" s="4"/>
      <c r="E29" s="1"/>
      <c r="F29" s="1"/>
      <c r="G29" s="1"/>
      <c r="H29" s="1"/>
      <c r="I29" s="1"/>
      <c r="J29" s="1"/>
      <c r="K29" s="1"/>
    </row>
    <row r="30" spans="1:11">
      <c r="A30" s="3" t="s">
        <v>3</v>
      </c>
      <c r="B30" s="4"/>
      <c r="C30" s="6">
        <f>(C25*C27*C26*((C27/2)+C29)+C28*C29*C29/2)/(C28*C29+C25*C27*C26)</f>
        <v>4.3417721518987342</v>
      </c>
      <c r="D30" s="4"/>
      <c r="E30" s="1"/>
      <c r="F30" s="1"/>
      <c r="G30" s="1"/>
      <c r="H30" s="1"/>
      <c r="I30" s="1"/>
      <c r="J30" s="1"/>
      <c r="K30" s="1"/>
    </row>
    <row r="31" spans="1:11">
      <c r="A31" s="3" t="s">
        <v>4</v>
      </c>
      <c r="B31" s="4" t="s">
        <v>32</v>
      </c>
      <c r="C31" s="6">
        <f>C25*((C26*C27^3/12)+C26*C27*(C27/2+C29-C30)^2)+C28*C29^3/12+C28*C29*(C30-C29/2)^2</f>
        <v>5680.2109704641352</v>
      </c>
      <c r="D31" s="4"/>
      <c r="E31" s="1"/>
      <c r="F31" s="1"/>
      <c r="G31" s="1"/>
      <c r="H31" s="1"/>
      <c r="I31" s="1"/>
      <c r="J31" s="1"/>
      <c r="K31" s="1"/>
    </row>
    <row r="32" spans="1:11">
      <c r="A32" s="3" t="s">
        <v>5</v>
      </c>
      <c r="B32" s="4" t="s">
        <v>33</v>
      </c>
      <c r="C32" s="6">
        <f>C24*(C27+C29-C30)/C31</f>
        <v>1787.0431801999957</v>
      </c>
      <c r="D32" s="4" t="str">
        <f>IF(C32&lt;1800,"OK","NOT OK")</f>
        <v>OK</v>
      </c>
      <c r="E32" s="1"/>
      <c r="F32" s="1"/>
      <c r="G32" s="1"/>
      <c r="H32" s="1"/>
      <c r="I32" s="1"/>
      <c r="J32" s="1"/>
      <c r="K32" s="1"/>
    </row>
    <row r="33" spans="1:11">
      <c r="A33" s="11"/>
      <c r="B33" s="12"/>
      <c r="C33" s="12"/>
      <c r="D33" s="12"/>
      <c r="E33" s="1"/>
      <c r="F33" s="1"/>
      <c r="G33" s="1"/>
      <c r="H33" s="1"/>
      <c r="I33" s="1"/>
      <c r="J33" s="1"/>
      <c r="K33" s="1"/>
    </row>
    <row r="34" spans="1:11">
      <c r="A34" s="3" t="s">
        <v>30</v>
      </c>
      <c r="B34" s="4"/>
      <c r="C34" s="6">
        <f>0.5*C21*C16*C18^2</f>
        <v>866449.80918181804</v>
      </c>
      <c r="D34" s="5"/>
    </row>
    <row r="35" spans="1:11">
      <c r="A35" s="3" t="s">
        <v>7</v>
      </c>
      <c r="B35" s="4"/>
      <c r="C35" s="4">
        <v>2</v>
      </c>
      <c r="D35" s="4"/>
      <c r="E35" s="1"/>
      <c r="F35" s="1"/>
      <c r="G35" s="1"/>
      <c r="H35" s="1"/>
      <c r="I35" s="1"/>
      <c r="J35" s="1"/>
      <c r="K35" s="1"/>
    </row>
    <row r="36" spans="1:11">
      <c r="A36" s="3" t="s">
        <v>31</v>
      </c>
      <c r="B36" s="4"/>
      <c r="C36" s="4">
        <v>1.2</v>
      </c>
      <c r="D36" s="4"/>
      <c r="E36" s="1"/>
      <c r="F36" s="1"/>
      <c r="G36" s="1"/>
      <c r="H36" s="1"/>
      <c r="I36" s="1"/>
      <c r="J36" s="1"/>
      <c r="K36" s="1"/>
    </row>
    <row r="37" spans="1:11">
      <c r="A37" s="3" t="s">
        <v>0</v>
      </c>
      <c r="B37" s="4"/>
      <c r="C37" s="4">
        <v>25</v>
      </c>
      <c r="D37" s="4"/>
      <c r="E37" s="1"/>
      <c r="F37" s="1"/>
      <c r="G37" s="1"/>
      <c r="H37" s="1"/>
      <c r="I37" s="1"/>
      <c r="J37" s="1"/>
      <c r="K37" s="1"/>
    </row>
    <row r="38" spans="1:11">
      <c r="A38" s="3" t="s">
        <v>1</v>
      </c>
      <c r="B38" s="4"/>
      <c r="C38" s="6">
        <f>C16</f>
        <v>55</v>
      </c>
      <c r="D38" s="4"/>
      <c r="E38" s="1"/>
      <c r="F38" s="1"/>
      <c r="G38" s="1"/>
      <c r="H38" s="1"/>
      <c r="I38" s="1"/>
      <c r="J38" s="1"/>
      <c r="K38" s="1"/>
    </row>
    <row r="39" spans="1:11">
      <c r="A39" s="3" t="s">
        <v>2</v>
      </c>
      <c r="B39" s="4" t="s">
        <v>34</v>
      </c>
      <c r="C39" s="4">
        <v>2</v>
      </c>
      <c r="D39" s="4"/>
      <c r="E39" s="1"/>
      <c r="F39" s="1"/>
      <c r="G39" s="1"/>
      <c r="H39" s="1"/>
      <c r="I39" s="1"/>
      <c r="J39" s="1"/>
      <c r="K39" s="1"/>
    </row>
    <row r="40" spans="1:11">
      <c r="A40" s="3" t="s">
        <v>3</v>
      </c>
      <c r="B40" s="4"/>
      <c r="C40" s="6">
        <f>(C35*C37*C36*((C37/2)+C39)+C38*C39*C39/2)/(C38*C39+C35*C37*C36)</f>
        <v>5.7647058823529411</v>
      </c>
      <c r="D40" s="4"/>
      <c r="E40" s="1"/>
      <c r="F40" s="1"/>
      <c r="G40" s="1"/>
      <c r="H40" s="1"/>
      <c r="I40" s="1"/>
      <c r="J40" s="1"/>
      <c r="K40" s="1"/>
    </row>
    <row r="41" spans="1:11">
      <c r="A41" s="3" t="s">
        <v>4</v>
      </c>
      <c r="B41" s="4" t="s">
        <v>32</v>
      </c>
      <c r="C41" s="6">
        <f>C35*((C36*C37^3/12)+C36*C37*(C37/2+C39-C40)^2)+C38*C39^3/12+C38*C39*(C40-C39/2)^2</f>
        <v>10237.254901960783</v>
      </c>
      <c r="D41" s="4"/>
      <c r="E41" s="1"/>
      <c r="F41" s="1"/>
      <c r="G41" s="1"/>
      <c r="H41" s="1"/>
      <c r="I41" s="1"/>
      <c r="J41" s="1"/>
      <c r="K41" s="1"/>
    </row>
    <row r="42" spans="1:11">
      <c r="A42" s="3" t="s">
        <v>5</v>
      </c>
      <c r="B42" s="4" t="s">
        <v>33</v>
      </c>
      <c r="C42" s="6">
        <f>C34*(C37+C39-C40)/C41</f>
        <v>1797.2900657803273</v>
      </c>
      <c r="D42" s="4" t="str">
        <f>IF(C42&lt;1800,"OK","NOT OK")</f>
        <v>OK</v>
      </c>
      <c r="E42" s="1"/>
      <c r="F42" s="1"/>
      <c r="G42" s="1"/>
      <c r="H42" s="1"/>
      <c r="I42" s="1"/>
      <c r="J42" s="1"/>
      <c r="K42" s="1"/>
    </row>
    <row r="43" spans="1:11">
      <c r="A43" s="9"/>
      <c r="B43" s="10"/>
      <c r="C43" s="10"/>
      <c r="D43" s="10"/>
      <c r="E43" s="1"/>
      <c r="F43" s="1"/>
      <c r="G43" s="1"/>
      <c r="H43" s="1"/>
      <c r="I43" s="1"/>
      <c r="J43" s="1"/>
      <c r="K43" s="1"/>
    </row>
    <row r="44" spans="1:11">
      <c r="A44" s="3" t="s">
        <v>35</v>
      </c>
      <c r="B44" s="4" t="s">
        <v>36</v>
      </c>
      <c r="C44" s="6">
        <f>C5/0.33/C2</f>
        <v>103.60555555555554</v>
      </c>
      <c r="D44" s="4"/>
      <c r="E44" s="1"/>
      <c r="F44" s="1"/>
      <c r="G44" s="1"/>
      <c r="H44" s="1"/>
      <c r="I44" s="1"/>
      <c r="J44" s="1"/>
      <c r="K44" s="1"/>
    </row>
    <row r="45" spans="1:11">
      <c r="A45" s="3" t="s">
        <v>38</v>
      </c>
      <c r="B45" s="4" t="s">
        <v>17</v>
      </c>
      <c r="C45" s="4">
        <v>3.2</v>
      </c>
      <c r="D45" s="4"/>
      <c r="E45" s="1"/>
      <c r="F45" s="1"/>
      <c r="G45" s="1"/>
      <c r="H45" s="1"/>
      <c r="I45" s="1"/>
      <c r="J45" s="1"/>
      <c r="K45" s="1"/>
    </row>
    <row r="46" spans="1:11">
      <c r="A46" s="3" t="s">
        <v>63</v>
      </c>
      <c r="B46" s="4" t="s">
        <v>37</v>
      </c>
      <c r="C46" s="4">
        <v>13</v>
      </c>
      <c r="D46" s="4"/>
      <c r="E46" s="1"/>
      <c r="F46" s="1"/>
      <c r="G46" s="1"/>
      <c r="H46" s="1"/>
      <c r="I46" s="1"/>
      <c r="J46" s="1"/>
      <c r="K46" s="1"/>
    </row>
    <row r="47" spans="1:11">
      <c r="A47" s="3" t="s">
        <v>45</v>
      </c>
      <c r="B47" s="4" t="s">
        <v>36</v>
      </c>
      <c r="C47" s="6">
        <f>(C46*C45^2/4*PI())</f>
        <v>104.55220351146833</v>
      </c>
      <c r="D47" s="4"/>
      <c r="E47" s="1"/>
      <c r="F47" s="1"/>
      <c r="G47" s="1"/>
      <c r="H47" s="1"/>
      <c r="I47" s="1"/>
      <c r="J47" s="1"/>
      <c r="K47" s="1"/>
    </row>
    <row r="48" spans="1:11">
      <c r="A48" s="3" t="s">
        <v>43</v>
      </c>
      <c r="B48" s="4" t="s">
        <v>44</v>
      </c>
      <c r="C48" s="6">
        <f>(C6^2+C7^2)^0.5/C47</f>
        <v>312.92501641451554</v>
      </c>
      <c r="D48" s="4" t="str">
        <f>IF(C48&lt;C49,"OK","NOT OK")</f>
        <v>OK</v>
      </c>
      <c r="E48" s="1"/>
      <c r="F48" s="1"/>
      <c r="G48" s="1"/>
      <c r="H48" s="1"/>
      <c r="I48" s="1"/>
      <c r="J48" s="1"/>
      <c r="K48" s="1"/>
    </row>
    <row r="49" spans="1:11">
      <c r="A49" s="3" t="s">
        <v>46</v>
      </c>
      <c r="B49" s="4" t="s">
        <v>47</v>
      </c>
      <c r="C49" s="6">
        <f>0.17*C2</f>
        <v>1020.0000000000001</v>
      </c>
      <c r="D49" s="4"/>
      <c r="E49" s="1"/>
      <c r="F49" s="1"/>
      <c r="G49" s="1"/>
      <c r="H49" s="1"/>
      <c r="I49" s="1"/>
      <c r="J49" s="1"/>
      <c r="K49" s="1"/>
    </row>
    <row r="50" spans="1:11">
      <c r="A50" s="3" t="s">
        <v>49</v>
      </c>
      <c r="B50" s="4" t="s">
        <v>48</v>
      </c>
      <c r="C50" s="6">
        <f>MIN(0.43*C2-1.8*C48,0.33*C2)</f>
        <v>1980</v>
      </c>
      <c r="D50" s="4"/>
      <c r="E50" s="1"/>
      <c r="F50" s="1"/>
      <c r="G50" s="1"/>
      <c r="H50" s="1"/>
      <c r="I50" s="1"/>
      <c r="J50" s="1"/>
      <c r="K50" s="1"/>
    </row>
    <row r="51" spans="1:11">
      <c r="A51" s="3" t="s">
        <v>50</v>
      </c>
      <c r="B51" s="4" t="s">
        <v>51</v>
      </c>
      <c r="C51" s="8">
        <f>C5/C47</f>
        <v>1962.0724682048265</v>
      </c>
      <c r="D51" s="4" t="str">
        <f>IF(C51&lt;C50,"OK","NOT OK")</f>
        <v>OK</v>
      </c>
    </row>
    <row r="52" spans="1:11">
      <c r="A52" s="3"/>
      <c r="B52" s="4"/>
      <c r="C52" s="5"/>
      <c r="D52" s="4"/>
    </row>
    <row r="53" spans="1:11">
      <c r="A53" s="3"/>
      <c r="B53" s="4"/>
      <c r="C53" s="5"/>
      <c r="D53" s="4"/>
    </row>
    <row r="54" spans="1:11">
      <c r="A54" s="3"/>
      <c r="B54" s="4"/>
      <c r="C54" s="5"/>
      <c r="D54" s="4"/>
    </row>
    <row r="55" spans="1:11">
      <c r="A55" s="3"/>
      <c r="B55" s="4"/>
      <c r="C55" s="5"/>
      <c r="D55" s="4"/>
    </row>
    <row r="56" spans="1:11">
      <c r="A56" s="3"/>
      <c r="B56" s="4"/>
      <c r="C56" s="5"/>
      <c r="D56" s="4"/>
    </row>
    <row r="57" spans="1:11">
      <c r="A57" s="3"/>
      <c r="B57" s="4"/>
      <c r="C57" s="5"/>
      <c r="D57" s="4"/>
    </row>
    <row r="58" spans="1:11">
      <c r="A58" s="3"/>
      <c r="B58" s="4"/>
      <c r="C58" s="5"/>
      <c r="D58" s="4"/>
    </row>
    <row r="59" spans="1:11">
      <c r="A59" s="3"/>
      <c r="B59" s="4"/>
      <c r="C59" s="5"/>
      <c r="D59" s="4"/>
    </row>
    <row r="60" spans="1:11">
      <c r="A60" s="3"/>
      <c r="B60" s="4"/>
      <c r="C60" s="5"/>
      <c r="D60" s="4"/>
    </row>
    <row r="61" spans="1:11">
      <c r="A61" s="3"/>
      <c r="B61" s="4"/>
      <c r="C61" s="5"/>
      <c r="D61" s="4"/>
    </row>
    <row r="62" spans="1:11">
      <c r="A62" s="3"/>
      <c r="B62" s="4"/>
      <c r="C62" s="5"/>
      <c r="D62" s="4"/>
    </row>
    <row r="63" spans="1:11">
      <c r="A63" s="3"/>
      <c r="B63" s="4"/>
      <c r="C63" s="5"/>
      <c r="D63" s="4"/>
    </row>
    <row r="64" spans="1:11">
      <c r="A64" s="3"/>
      <c r="B64" s="4"/>
      <c r="C64" s="5"/>
      <c r="D64" s="4"/>
    </row>
    <row r="65" spans="1:4">
      <c r="A65" s="2"/>
      <c r="D65" s="1"/>
    </row>
    <row r="66" spans="1:4">
      <c r="A66" s="2"/>
      <c r="D66" s="1"/>
    </row>
    <row r="67" spans="1:4">
      <c r="A67" s="2"/>
    </row>
    <row r="68" spans="1:4">
      <c r="A68" s="2"/>
    </row>
    <row r="69" spans="1:4">
      <c r="A69" s="2"/>
    </row>
    <row r="70" spans="1:4">
      <c r="A70" s="2"/>
    </row>
    <row r="71" spans="1:4">
      <c r="A71" s="2"/>
    </row>
    <row r="72" spans="1:4">
      <c r="A72" s="2"/>
    </row>
    <row r="73" spans="1:4">
      <c r="A7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67"/>
  <sheetViews>
    <sheetView rightToLeft="1" workbookViewId="0">
      <selection activeCell="C10" sqref="C10"/>
    </sheetView>
  </sheetViews>
  <sheetFormatPr defaultRowHeight="15"/>
  <cols>
    <col min="1" max="1" width="21.140625" customWidth="1"/>
    <col min="2" max="2" width="15.140625" customWidth="1"/>
  </cols>
  <sheetData>
    <row r="1" spans="1:4">
      <c r="A1" s="3" t="s">
        <v>9</v>
      </c>
      <c r="B1" s="4" t="s">
        <v>41</v>
      </c>
      <c r="C1" s="4">
        <v>2400</v>
      </c>
      <c r="D1" s="5"/>
    </row>
    <row r="2" spans="1:4">
      <c r="A2" s="3" t="s">
        <v>39</v>
      </c>
      <c r="B2" s="4" t="s">
        <v>40</v>
      </c>
      <c r="C2" s="4">
        <v>6000</v>
      </c>
      <c r="D2" s="5"/>
    </row>
    <row r="3" spans="1:4">
      <c r="A3" s="3" t="s">
        <v>8</v>
      </c>
      <c r="B3" s="4" t="s">
        <v>42</v>
      </c>
      <c r="C3" s="4">
        <v>240</v>
      </c>
      <c r="D3" s="5"/>
    </row>
    <row r="4" spans="1:4">
      <c r="A4" s="3" t="s">
        <v>10</v>
      </c>
      <c r="B4" s="4"/>
      <c r="C4" s="4">
        <v>306437</v>
      </c>
      <c r="D4" s="5"/>
    </row>
    <row r="5" spans="1:4">
      <c r="A5" s="3" t="s">
        <v>11</v>
      </c>
      <c r="B5" s="4"/>
      <c r="C5" s="4">
        <v>257360</v>
      </c>
      <c r="D5" s="5"/>
    </row>
    <row r="6" spans="1:4">
      <c r="A6" s="3" t="s">
        <v>6</v>
      </c>
      <c r="B6" s="4"/>
      <c r="C6" s="4">
        <v>32846</v>
      </c>
      <c r="D6" s="5"/>
    </row>
    <row r="7" spans="1:4">
      <c r="A7" s="3" t="s">
        <v>6</v>
      </c>
      <c r="B7" s="4"/>
      <c r="C7" s="4">
        <v>21279</v>
      </c>
      <c r="D7" s="5"/>
    </row>
    <row r="8" spans="1:4">
      <c r="A8" s="3" t="s">
        <v>13</v>
      </c>
      <c r="B8" s="4" t="s">
        <v>12</v>
      </c>
      <c r="C8" s="6">
        <f>0.6*C3</f>
        <v>144</v>
      </c>
      <c r="D8" s="5"/>
    </row>
    <row r="9" spans="1:4">
      <c r="A9" s="3" t="s">
        <v>14</v>
      </c>
      <c r="B9" s="4" t="s">
        <v>15</v>
      </c>
      <c r="C9" s="6">
        <f>C4/C8</f>
        <v>2128.0347222222222</v>
      </c>
      <c r="D9" s="5"/>
    </row>
    <row r="10" spans="1:4">
      <c r="A10" s="3"/>
      <c r="B10" s="4"/>
      <c r="C10" s="7"/>
      <c r="D10" s="5"/>
    </row>
    <row r="11" spans="1:4">
      <c r="A11" s="3" t="s">
        <v>18</v>
      </c>
      <c r="B11" s="4" t="s">
        <v>16</v>
      </c>
      <c r="C11" s="7">
        <v>24</v>
      </c>
      <c r="D11" s="5"/>
    </row>
    <row r="12" spans="1:4">
      <c r="A12" s="3" t="s">
        <v>19</v>
      </c>
      <c r="B12" s="4" t="s">
        <v>17</v>
      </c>
      <c r="C12" s="7">
        <v>27.2</v>
      </c>
      <c r="D12" s="5"/>
    </row>
    <row r="13" spans="1:4">
      <c r="A13" s="3" t="s">
        <v>20</v>
      </c>
      <c r="B13" s="4"/>
      <c r="C13" s="4">
        <v>45</v>
      </c>
      <c r="D13" s="5"/>
    </row>
    <row r="14" spans="1:4">
      <c r="A14" s="3" t="s">
        <v>21</v>
      </c>
      <c r="B14" s="4"/>
      <c r="C14" s="4">
        <v>90</v>
      </c>
      <c r="D14" s="5"/>
    </row>
    <row r="15" spans="1:4">
      <c r="A15" s="3" t="s">
        <v>52</v>
      </c>
      <c r="B15" s="4"/>
      <c r="C15" s="4">
        <v>15</v>
      </c>
      <c r="D15" s="5"/>
    </row>
    <row r="16" spans="1:4">
      <c r="A16" s="3" t="s">
        <v>53</v>
      </c>
      <c r="B16" s="4" t="s">
        <v>54</v>
      </c>
      <c r="C16" s="6">
        <f>C13/2-C15</f>
        <v>7.5</v>
      </c>
      <c r="D16" s="5"/>
    </row>
    <row r="17" spans="1:4">
      <c r="A17" s="3" t="s">
        <v>55</v>
      </c>
      <c r="B17" s="4" t="s">
        <v>56</v>
      </c>
      <c r="C17" s="6">
        <f>C13/6</f>
        <v>7.5</v>
      </c>
      <c r="D17" s="5"/>
    </row>
    <row r="18" spans="1:4">
      <c r="A18" s="3" t="s">
        <v>24</v>
      </c>
      <c r="B18" s="4"/>
      <c r="C18" s="6">
        <f>(C14-0.95*C12)/2</f>
        <v>32.08</v>
      </c>
      <c r="D18" s="5"/>
    </row>
    <row r="19" spans="1:4">
      <c r="A19" s="3" t="s">
        <v>25</v>
      </c>
      <c r="B19" s="4"/>
      <c r="C19" s="6">
        <f>(C13-0.8*C11)/2</f>
        <v>12.899999999999999</v>
      </c>
      <c r="D19" s="5"/>
    </row>
    <row r="20" spans="1:4">
      <c r="A20" s="3" t="s">
        <v>26</v>
      </c>
      <c r="B20" s="4"/>
      <c r="C20" s="4">
        <v>100000</v>
      </c>
      <c r="D20" s="5"/>
    </row>
    <row r="21" spans="1:4">
      <c r="A21" s="3" t="s">
        <v>13</v>
      </c>
      <c r="B21" s="4"/>
      <c r="C21" s="6">
        <f>MIN(C8,0.6*(C20/C13/C14)^0.5*C3)</f>
        <v>144</v>
      </c>
      <c r="D21" s="5"/>
    </row>
    <row r="22" spans="1:4">
      <c r="A22" s="3" t="s">
        <v>57</v>
      </c>
      <c r="B22" s="4" t="s">
        <v>58</v>
      </c>
      <c r="C22" s="6">
        <f>C4/C13/C14*(1+6*C16/C13)</f>
        <v>151.3269135802469</v>
      </c>
      <c r="D22" s="4" t="str">
        <f>IF(C22&lt;C21,"OK","NOT OK")</f>
        <v>NOT OK</v>
      </c>
    </row>
    <row r="23" spans="1:4">
      <c r="A23" s="3" t="s">
        <v>61</v>
      </c>
      <c r="B23" s="4" t="s">
        <v>59</v>
      </c>
      <c r="C23" s="6">
        <f>C4/C14/C13*(1-6*C16/C13)</f>
        <v>0</v>
      </c>
      <c r="D23" s="4"/>
    </row>
    <row r="24" spans="1:4">
      <c r="A24" s="3" t="s">
        <v>62</v>
      </c>
      <c r="B24" s="4" t="s">
        <v>60</v>
      </c>
      <c r="C24" s="6">
        <f>C4/(C14*C13)+(C4*C16*(C13/2-C19))/((C14*C13^3)/12)</f>
        <v>107.94653168724281</v>
      </c>
      <c r="D24" s="4"/>
    </row>
    <row r="25" spans="1:4">
      <c r="A25" s="3"/>
      <c r="B25" s="4"/>
      <c r="C25" s="5"/>
      <c r="D25" s="5"/>
    </row>
    <row r="26" spans="1:4">
      <c r="A26" s="3"/>
      <c r="B26" s="4"/>
      <c r="C26" s="5"/>
      <c r="D26" s="5"/>
    </row>
    <row r="27" spans="1:4">
      <c r="A27" s="3" t="s">
        <v>29</v>
      </c>
      <c r="B27" s="4"/>
      <c r="C27" s="6">
        <f>((C22+C23)*C13*C18^2)/4</f>
        <v>1752013.3702044438</v>
      </c>
      <c r="D27" s="5"/>
    </row>
    <row r="28" spans="1:4">
      <c r="A28" s="3" t="s">
        <v>7</v>
      </c>
      <c r="B28" s="4"/>
      <c r="C28" s="4">
        <v>4</v>
      </c>
      <c r="D28" s="4"/>
    </row>
    <row r="29" spans="1:4">
      <c r="A29" s="3" t="s">
        <v>31</v>
      </c>
      <c r="B29" s="4"/>
      <c r="C29" s="4">
        <v>1.4</v>
      </c>
      <c r="D29" s="4"/>
    </row>
    <row r="30" spans="1:4">
      <c r="A30" s="3" t="s">
        <v>0</v>
      </c>
      <c r="B30" s="4"/>
      <c r="C30" s="4">
        <v>25</v>
      </c>
      <c r="D30" s="4"/>
    </row>
    <row r="31" spans="1:4">
      <c r="A31" s="3" t="s">
        <v>1</v>
      </c>
      <c r="B31" s="4"/>
      <c r="C31" s="6">
        <f>C13</f>
        <v>45</v>
      </c>
      <c r="D31" s="4"/>
    </row>
    <row r="32" spans="1:4">
      <c r="A32" s="3" t="s">
        <v>2</v>
      </c>
      <c r="B32" s="4" t="s">
        <v>34</v>
      </c>
      <c r="C32" s="4">
        <v>2</v>
      </c>
      <c r="D32" s="4"/>
    </row>
    <row r="33" spans="1:4">
      <c r="A33" s="3" t="s">
        <v>3</v>
      </c>
      <c r="B33" s="4"/>
      <c r="C33" s="6">
        <f>(C28*C30*C29*((C30/2)+C32)+C31*C32*C32/2)/(C31*C32+C28*C30*C29)</f>
        <v>9.2173913043478262</v>
      </c>
      <c r="D33" s="4"/>
    </row>
    <row r="34" spans="1:4">
      <c r="A34" s="3" t="s">
        <v>4</v>
      </c>
      <c r="B34" s="4" t="s">
        <v>32</v>
      </c>
      <c r="C34" s="6">
        <f>C28*((C29*C30^3/12)+C29*C30*(C30/2+C32-C33)^2)+C31*C32^3/12+C31*C32*(C33-C32/2)^2</f>
        <v>17305.797101449276</v>
      </c>
      <c r="D34" s="4"/>
    </row>
    <row r="35" spans="1:4">
      <c r="A35" s="3" t="s">
        <v>5</v>
      </c>
      <c r="B35" s="4" t="s">
        <v>33</v>
      </c>
      <c r="C35" s="6">
        <f>C27*(C30+C32-C33)/C34</f>
        <v>1800.2850726411959</v>
      </c>
      <c r="D35" s="4" t="str">
        <f>IF(C35&lt;1800,"OK","NOT OK")</f>
        <v>NOT OK</v>
      </c>
    </row>
    <row r="36" spans="1:4">
      <c r="A36" s="3"/>
      <c r="B36" s="4"/>
      <c r="C36" s="4"/>
      <c r="D36" s="4"/>
    </row>
    <row r="37" spans="1:4">
      <c r="A37" s="3" t="s">
        <v>30</v>
      </c>
      <c r="B37" s="4"/>
      <c r="C37" s="6">
        <f>(C24*C14*C19^2)/2+(C22-C24)*C14*C19^2/3</f>
        <v>1024920.0857377775</v>
      </c>
      <c r="D37" s="5"/>
    </row>
    <row r="38" spans="1:4">
      <c r="A38" s="3" t="s">
        <v>7</v>
      </c>
      <c r="B38" s="4"/>
      <c r="C38" s="4">
        <v>2</v>
      </c>
      <c r="D38" s="4"/>
    </row>
    <row r="39" spans="1:4">
      <c r="A39" s="3" t="s">
        <v>31</v>
      </c>
      <c r="B39" s="4"/>
      <c r="C39" s="4">
        <v>1.4</v>
      </c>
      <c r="D39" s="4"/>
    </row>
    <row r="40" spans="1:4">
      <c r="A40" s="3" t="s">
        <v>0</v>
      </c>
      <c r="B40" s="4"/>
      <c r="C40" s="4">
        <v>25</v>
      </c>
      <c r="D40" s="4"/>
    </row>
    <row r="41" spans="1:4">
      <c r="A41" s="3" t="s">
        <v>1</v>
      </c>
      <c r="B41" s="4"/>
      <c r="C41" s="6">
        <f>C14</f>
        <v>90</v>
      </c>
      <c r="D41" s="4"/>
    </row>
    <row r="42" spans="1:4">
      <c r="A42" s="3" t="s">
        <v>2</v>
      </c>
      <c r="B42" s="4" t="s">
        <v>34</v>
      </c>
      <c r="C42" s="4">
        <v>2</v>
      </c>
      <c r="D42" s="4"/>
    </row>
    <row r="43" spans="1:4">
      <c r="A43" s="3" t="s">
        <v>3</v>
      </c>
      <c r="B43" s="4"/>
      <c r="C43" s="6">
        <f>(C38*C40*C39*((C40/2)+C42)+C41*C42*C42/2)/(C41*C42+C38*C40*C39)</f>
        <v>4.78</v>
      </c>
      <c r="D43" s="4"/>
    </row>
    <row r="44" spans="1:4">
      <c r="A44" s="3" t="s">
        <v>4</v>
      </c>
      <c r="B44" s="4" t="s">
        <v>32</v>
      </c>
      <c r="C44" s="6">
        <f>C38*((C39*C40^3/12)+C39*C40*(C40/2+C42-C43)^2)+C41*C42^3/12+C41*C42*(C43-C42/2)^2</f>
        <v>12891.233333333332</v>
      </c>
      <c r="D44" s="4"/>
    </row>
    <row r="45" spans="1:4">
      <c r="A45" s="3" t="s">
        <v>5</v>
      </c>
      <c r="B45" s="4" t="s">
        <v>33</v>
      </c>
      <c r="C45" s="6">
        <f>C37*(C40+C42-C43)/C44</f>
        <v>1766.6055462828811</v>
      </c>
      <c r="D45" s="4" t="str">
        <f>IF(C45&lt;1800,"OK","NOT OK")</f>
        <v>OK</v>
      </c>
    </row>
    <row r="46" spans="1:4">
      <c r="A46" s="92"/>
      <c r="B46" s="93"/>
      <c r="C46" s="93"/>
      <c r="D46" s="94"/>
    </row>
    <row r="47" spans="1:4" ht="30">
      <c r="A47" s="14" t="s">
        <v>64</v>
      </c>
      <c r="B47" s="4" t="s">
        <v>36</v>
      </c>
      <c r="C47" s="6">
        <f>C5/0.33/C2</f>
        <v>129.97979797979798</v>
      </c>
      <c r="D47" s="4"/>
    </row>
    <row r="48" spans="1:4">
      <c r="A48" s="3" t="s">
        <v>38</v>
      </c>
      <c r="B48" s="4" t="s">
        <v>17</v>
      </c>
      <c r="C48" s="4">
        <v>3.2</v>
      </c>
      <c r="D48" s="4"/>
    </row>
    <row r="49" spans="1:4">
      <c r="A49" s="3" t="s">
        <v>63</v>
      </c>
      <c r="B49" s="4" t="s">
        <v>37</v>
      </c>
      <c r="C49" s="4">
        <v>17</v>
      </c>
      <c r="D49" s="4"/>
    </row>
    <row r="50" spans="1:4">
      <c r="A50" s="3" t="s">
        <v>45</v>
      </c>
      <c r="B50" s="4" t="s">
        <v>36</v>
      </c>
      <c r="C50" s="6">
        <f>(C49*C48^2/4*PI())</f>
        <v>136.72211228422782</v>
      </c>
      <c r="D50" s="4"/>
    </row>
    <row r="51" spans="1:4">
      <c r="A51" s="3" t="s">
        <v>43</v>
      </c>
      <c r="B51" s="4" t="s">
        <v>44</v>
      </c>
      <c r="C51" s="6">
        <f>(C6^2+C7^2)^0.5/C50</f>
        <v>286.24756176290447</v>
      </c>
      <c r="D51" s="4" t="str">
        <f>IF(C51&lt;C52,"OK","NOT OK")</f>
        <v>OK</v>
      </c>
    </row>
    <row r="52" spans="1:4">
      <c r="A52" s="3" t="s">
        <v>46</v>
      </c>
      <c r="B52" s="4" t="s">
        <v>47</v>
      </c>
      <c r="C52" s="6">
        <f>0.17*C2</f>
        <v>1020.0000000000001</v>
      </c>
      <c r="D52" s="4"/>
    </row>
    <row r="53" spans="1:4">
      <c r="A53" s="3" t="s">
        <v>49</v>
      </c>
      <c r="B53" s="4" t="s">
        <v>48</v>
      </c>
      <c r="C53" s="6">
        <f>MIN(0.43*C2-1.8*C51,0.33*C2)</f>
        <v>1980</v>
      </c>
      <c r="D53" s="4"/>
    </row>
    <row r="54" spans="1:4">
      <c r="A54" s="3" t="s">
        <v>50</v>
      </c>
      <c r="B54" s="4" t="s">
        <v>51</v>
      </c>
      <c r="C54" s="8">
        <f>C5/C50</f>
        <v>1882.358279142012</v>
      </c>
      <c r="D54" s="4" t="str">
        <f>IF(C54&lt;C53,"OK","NOT OK")</f>
        <v>OK</v>
      </c>
    </row>
    <row r="55" spans="1:4">
      <c r="A55" s="3"/>
      <c r="B55" s="4"/>
      <c r="C55" s="5"/>
      <c r="D55" s="4"/>
    </row>
    <row r="56" spans="1:4">
      <c r="A56" s="3"/>
      <c r="B56" s="4"/>
      <c r="C56" s="5"/>
      <c r="D56" s="4"/>
    </row>
    <row r="57" spans="1:4">
      <c r="A57" s="3"/>
      <c r="B57" s="4"/>
      <c r="C57" s="5"/>
      <c r="D57" s="4"/>
    </row>
    <row r="58" spans="1:4">
      <c r="A58" s="3"/>
      <c r="B58" s="4"/>
      <c r="C58" s="5"/>
      <c r="D58" s="4"/>
    </row>
    <row r="59" spans="1:4">
      <c r="A59" s="3"/>
      <c r="B59" s="4"/>
      <c r="C59" s="5"/>
      <c r="D59" s="4"/>
    </row>
    <row r="60" spans="1:4">
      <c r="A60" s="3"/>
      <c r="B60" s="4"/>
      <c r="C60" s="5"/>
      <c r="D60" s="4"/>
    </row>
    <row r="61" spans="1:4">
      <c r="A61" s="3"/>
      <c r="B61" s="4"/>
      <c r="C61" s="5"/>
      <c r="D61" s="4"/>
    </row>
    <row r="62" spans="1:4">
      <c r="A62" s="3"/>
      <c r="B62" s="4"/>
      <c r="C62" s="5"/>
      <c r="D62" s="4"/>
    </row>
    <row r="63" spans="1:4">
      <c r="A63" s="3"/>
      <c r="B63" s="4"/>
      <c r="C63" s="5"/>
      <c r="D63" s="4"/>
    </row>
    <row r="64" spans="1:4">
      <c r="A64" s="3"/>
      <c r="B64" s="4"/>
      <c r="C64" s="5"/>
      <c r="D64" s="4"/>
    </row>
    <row r="65" spans="1:4">
      <c r="A65" s="3"/>
      <c r="B65" s="4"/>
      <c r="C65" s="5"/>
      <c r="D65" s="4"/>
    </row>
    <row r="66" spans="1:4">
      <c r="A66" s="3"/>
      <c r="B66" s="4"/>
      <c r="C66" s="5"/>
      <c r="D66" s="4"/>
    </row>
    <row r="67" spans="1:4">
      <c r="A67" s="3"/>
      <c r="B67" s="4"/>
      <c r="C67" s="5"/>
      <c r="D67" s="4"/>
    </row>
  </sheetData>
  <mergeCells count="1">
    <mergeCell ref="A46:D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rightToLeft="1" topLeftCell="A10" workbookViewId="0">
      <selection activeCell="H14" sqref="H14"/>
    </sheetView>
  </sheetViews>
  <sheetFormatPr defaultRowHeight="15"/>
  <cols>
    <col min="1" max="1" width="21.140625" customWidth="1"/>
    <col min="2" max="2" width="15.140625" customWidth="1"/>
  </cols>
  <sheetData>
    <row r="1" spans="1:4">
      <c r="A1" s="3" t="s">
        <v>9</v>
      </c>
      <c r="B1" s="17" t="s">
        <v>41</v>
      </c>
      <c r="C1" s="17">
        <v>2400</v>
      </c>
      <c r="D1" s="5"/>
    </row>
    <row r="2" spans="1:4">
      <c r="A2" s="3" t="s">
        <v>39</v>
      </c>
      <c r="B2" s="17" t="s">
        <v>40</v>
      </c>
      <c r="C2" s="17">
        <v>6000</v>
      </c>
      <c r="D2" s="5"/>
    </row>
    <row r="3" spans="1:4">
      <c r="A3" s="3" t="s">
        <v>8</v>
      </c>
      <c r="B3" s="17" t="s">
        <v>42</v>
      </c>
      <c r="C3" s="17">
        <v>250</v>
      </c>
      <c r="D3" s="5"/>
    </row>
    <row r="4" spans="1:4">
      <c r="A4" s="3" t="s">
        <v>10</v>
      </c>
      <c r="B4" s="17"/>
      <c r="C4" s="17">
        <v>306437</v>
      </c>
      <c r="D4" s="5"/>
    </row>
    <row r="5" spans="1:4">
      <c r="A5" s="3" t="s">
        <v>11</v>
      </c>
      <c r="B5" s="17"/>
      <c r="C5" s="17">
        <v>257360</v>
      </c>
      <c r="D5" s="5"/>
    </row>
    <row r="6" spans="1:4">
      <c r="A6" s="3" t="s">
        <v>6</v>
      </c>
      <c r="B6" s="17"/>
      <c r="C6" s="17">
        <v>32846</v>
      </c>
      <c r="D6" s="5"/>
    </row>
    <row r="7" spans="1:4">
      <c r="A7" s="3" t="s">
        <v>6</v>
      </c>
      <c r="B7" s="17"/>
      <c r="C7" s="17">
        <v>21279</v>
      </c>
      <c r="D7" s="5"/>
    </row>
    <row r="8" spans="1:4">
      <c r="A8" s="3" t="s">
        <v>13</v>
      </c>
      <c r="B8" s="17" t="s">
        <v>12</v>
      </c>
      <c r="C8" s="6">
        <f>0.6*C3</f>
        <v>150</v>
      </c>
      <c r="D8" s="5"/>
    </row>
    <row r="9" spans="1:4">
      <c r="A9" s="3" t="s">
        <v>14</v>
      </c>
      <c r="B9" s="17" t="s">
        <v>15</v>
      </c>
      <c r="C9" s="6">
        <f>C4/C8</f>
        <v>2042.9133333333334</v>
      </c>
      <c r="D9" s="5"/>
    </row>
    <row r="10" spans="1:4">
      <c r="A10" s="3"/>
      <c r="B10" s="17"/>
      <c r="C10" s="7"/>
      <c r="D10" s="5"/>
    </row>
    <row r="11" spans="1:4">
      <c r="A11" s="3" t="s">
        <v>18</v>
      </c>
      <c r="B11" s="17" t="s">
        <v>16</v>
      </c>
      <c r="C11" s="7">
        <v>24</v>
      </c>
      <c r="D11" s="5"/>
    </row>
    <row r="12" spans="1:4">
      <c r="A12" s="3" t="s">
        <v>19</v>
      </c>
      <c r="B12" s="17" t="s">
        <v>17</v>
      </c>
      <c r="C12" s="7">
        <v>27.2</v>
      </c>
      <c r="D12" s="5"/>
    </row>
    <row r="13" spans="1:4">
      <c r="A13" s="3" t="s">
        <v>20</v>
      </c>
      <c r="B13" s="17"/>
      <c r="C13" s="17">
        <v>45</v>
      </c>
      <c r="D13" s="5"/>
    </row>
    <row r="14" spans="1:4">
      <c r="A14" s="3" t="s">
        <v>21</v>
      </c>
      <c r="B14" s="17"/>
      <c r="C14" s="17">
        <v>90</v>
      </c>
      <c r="D14" s="5"/>
    </row>
    <row r="15" spans="1:4">
      <c r="A15" s="3" t="s">
        <v>52</v>
      </c>
      <c r="B15" s="17"/>
      <c r="C15" s="17">
        <v>15</v>
      </c>
      <c r="D15" s="5"/>
    </row>
    <row r="16" spans="1:4">
      <c r="A16" s="3" t="s">
        <v>53</v>
      </c>
      <c r="B16" s="17" t="s">
        <v>54</v>
      </c>
      <c r="C16" s="6">
        <f>C13/2-C15</f>
        <v>7.5</v>
      </c>
      <c r="D16" s="5"/>
    </row>
    <row r="17" spans="1:4">
      <c r="A17" s="3" t="s">
        <v>55</v>
      </c>
      <c r="B17" s="17" t="s">
        <v>56</v>
      </c>
      <c r="C17" s="6">
        <f>C13/6</f>
        <v>7.5</v>
      </c>
      <c r="D17" s="5"/>
    </row>
    <row r="18" spans="1:4">
      <c r="A18" s="3" t="s">
        <v>24</v>
      </c>
      <c r="B18" s="17"/>
      <c r="C18" s="6">
        <f>(C14-0.95*C12)/2</f>
        <v>32.08</v>
      </c>
      <c r="D18" s="5"/>
    </row>
    <row r="19" spans="1:4">
      <c r="A19" s="3" t="s">
        <v>25</v>
      </c>
      <c r="B19" s="17"/>
      <c r="C19" s="6">
        <f>(C13-0.8*C11)/2</f>
        <v>12.899999999999999</v>
      </c>
      <c r="D19" s="5"/>
    </row>
    <row r="20" spans="1:4">
      <c r="A20" s="3" t="s">
        <v>26</v>
      </c>
      <c r="B20" s="17"/>
      <c r="C20" s="17">
        <v>100000</v>
      </c>
      <c r="D20" s="5"/>
    </row>
    <row r="21" spans="1:4">
      <c r="A21" s="3" t="s">
        <v>13</v>
      </c>
      <c r="B21" s="17"/>
      <c r="C21" s="6">
        <f>MIN(C8,0.6*(C20/C13/C14)^0.5*C3)</f>
        <v>150</v>
      </c>
      <c r="D21" s="5"/>
    </row>
    <row r="22" spans="1:4">
      <c r="A22" s="3" t="s">
        <v>57</v>
      </c>
      <c r="B22" s="17" t="s">
        <v>58</v>
      </c>
      <c r="C22" s="6">
        <f>C4/C13/C14*(1+6*C16/C13)</f>
        <v>151.3269135802469</v>
      </c>
      <c r="D22" s="17" t="str">
        <f>IF(C22&lt;C21,"OK","NOT OK")</f>
        <v>NOT OK</v>
      </c>
    </row>
    <row r="23" spans="1:4">
      <c r="A23" s="3" t="s">
        <v>61</v>
      </c>
      <c r="B23" s="17" t="s">
        <v>59</v>
      </c>
      <c r="C23" s="6">
        <f>C4/C14/C13*(1-6*C16/C13)</f>
        <v>0</v>
      </c>
      <c r="D23" s="17"/>
    </row>
    <row r="24" spans="1:4">
      <c r="A24" s="3" t="s">
        <v>62</v>
      </c>
      <c r="B24" s="17" t="s">
        <v>60</v>
      </c>
      <c r="C24" s="6">
        <f>C4/(C14*C13)+(C4*C16*(C13/2-C19))/((C14*C13^3)/12)</f>
        <v>107.94653168724281</v>
      </c>
      <c r="D24" s="17"/>
    </row>
    <row r="25" spans="1:4">
      <c r="A25" s="3"/>
      <c r="B25" s="17"/>
      <c r="C25" s="5"/>
      <c r="D25" s="5"/>
    </row>
    <row r="26" spans="1:4">
      <c r="A26" s="3"/>
      <c r="B26" s="17"/>
      <c r="C26" s="5"/>
      <c r="D26" s="5"/>
    </row>
    <row r="27" spans="1:4">
      <c r="A27" s="3" t="s">
        <v>29</v>
      </c>
      <c r="B27" s="17"/>
      <c r="C27" s="6">
        <f>((C22+C23)*C13*C18^2)/4</f>
        <v>1752013.3702044438</v>
      </c>
      <c r="D27" s="5"/>
    </row>
    <row r="28" spans="1:4">
      <c r="A28" s="3" t="s">
        <v>7</v>
      </c>
      <c r="B28" s="17"/>
      <c r="C28" s="17">
        <v>4</v>
      </c>
      <c r="D28" s="17"/>
    </row>
    <row r="29" spans="1:4">
      <c r="A29" s="3" t="s">
        <v>31</v>
      </c>
      <c r="B29" s="17"/>
      <c r="C29" s="17">
        <v>1.4</v>
      </c>
      <c r="D29" s="17"/>
    </row>
    <row r="30" spans="1:4">
      <c r="A30" s="3" t="s">
        <v>0</v>
      </c>
      <c r="B30" s="17"/>
      <c r="C30" s="17">
        <v>25</v>
      </c>
      <c r="D30" s="17"/>
    </row>
    <row r="31" spans="1:4">
      <c r="A31" s="3" t="s">
        <v>1</v>
      </c>
      <c r="B31" s="17"/>
      <c r="C31" s="6">
        <f>C13</f>
        <v>45</v>
      </c>
      <c r="D31" s="17"/>
    </row>
    <row r="32" spans="1:4">
      <c r="A32" s="3" t="s">
        <v>2</v>
      </c>
      <c r="B32" s="17" t="s">
        <v>34</v>
      </c>
      <c r="C32" s="17">
        <v>2</v>
      </c>
      <c r="D32" s="17"/>
    </row>
    <row r="33" spans="1:4">
      <c r="A33" s="3" t="s">
        <v>3</v>
      </c>
      <c r="B33" s="17"/>
      <c r="C33" s="6">
        <f>(C28*C30*C29*((C30/2)+C32)+C31*C32*C32/2)/(C31*C32+C28*C30*C29)</f>
        <v>9.2173913043478262</v>
      </c>
      <c r="D33" s="17"/>
    </row>
    <row r="34" spans="1:4">
      <c r="A34" s="3" t="s">
        <v>4</v>
      </c>
      <c r="B34" s="17" t="s">
        <v>32</v>
      </c>
      <c r="C34" s="6">
        <f>C28*((C29*C30^3/12)+C29*C30*(C30/2+C32-C33)^2)+C31*C32^3/12+C31*C32*(C33-C32/2)^2</f>
        <v>17305.797101449276</v>
      </c>
      <c r="D34" s="17"/>
    </row>
    <row r="35" spans="1:4">
      <c r="A35" s="3" t="s">
        <v>5</v>
      </c>
      <c r="B35" s="17" t="s">
        <v>33</v>
      </c>
      <c r="C35" s="6">
        <f>C27*(C30+C32-C33)/C34</f>
        <v>1800.2850726411959</v>
      </c>
      <c r="D35" s="17" t="str">
        <f>IF(C35&lt;1800,"OK","NOT OK")</f>
        <v>NOT OK</v>
      </c>
    </row>
    <row r="36" spans="1:4">
      <c r="A36" s="3"/>
      <c r="B36" s="17"/>
      <c r="C36" s="17"/>
      <c r="D36" s="17"/>
    </row>
    <row r="37" spans="1:4">
      <c r="A37" s="3" t="s">
        <v>30</v>
      </c>
      <c r="B37" s="17"/>
      <c r="C37" s="6">
        <f>(C24*C14*C19^2)/2+(C22-C24)*C14*C19^2/3</f>
        <v>1024920.0857377775</v>
      </c>
      <c r="D37" s="5"/>
    </row>
    <row r="38" spans="1:4">
      <c r="A38" s="3" t="s">
        <v>7</v>
      </c>
      <c r="B38" s="17"/>
      <c r="C38" s="17">
        <v>2</v>
      </c>
      <c r="D38" s="17"/>
    </row>
    <row r="39" spans="1:4">
      <c r="A39" s="3" t="s">
        <v>31</v>
      </c>
      <c r="B39" s="17"/>
      <c r="C39" s="17">
        <v>1.4</v>
      </c>
      <c r="D39" s="17"/>
    </row>
    <row r="40" spans="1:4">
      <c r="A40" s="3" t="s">
        <v>0</v>
      </c>
      <c r="B40" s="17"/>
      <c r="C40" s="17">
        <v>25</v>
      </c>
      <c r="D40" s="17"/>
    </row>
    <row r="41" spans="1:4">
      <c r="A41" s="3" t="s">
        <v>1</v>
      </c>
      <c r="B41" s="17"/>
      <c r="C41" s="6">
        <f>C14</f>
        <v>90</v>
      </c>
      <c r="D41" s="17"/>
    </row>
    <row r="42" spans="1:4">
      <c r="A42" s="3" t="s">
        <v>2</v>
      </c>
      <c r="B42" s="17" t="s">
        <v>34</v>
      </c>
      <c r="C42" s="17">
        <v>2</v>
      </c>
      <c r="D42" s="17"/>
    </row>
    <row r="43" spans="1:4">
      <c r="A43" s="3" t="s">
        <v>3</v>
      </c>
      <c r="B43" s="17"/>
      <c r="C43" s="6">
        <f>(C38*C40*C39*((C40/2)+C42)+C41*C42*C42/2)/(C41*C42+C38*C40*C39)</f>
        <v>4.78</v>
      </c>
      <c r="D43" s="17"/>
    </row>
    <row r="44" spans="1:4">
      <c r="A44" s="3" t="s">
        <v>4</v>
      </c>
      <c r="B44" s="17" t="s">
        <v>32</v>
      </c>
      <c r="C44" s="6">
        <f>C38*((C39*C40^3/12)+C39*C40*(C40/2+C42-C43)^2)+C41*C42^3/12+C41*C42*(C43-C42/2)^2</f>
        <v>12891.233333333332</v>
      </c>
      <c r="D44" s="17"/>
    </row>
    <row r="45" spans="1:4">
      <c r="A45" s="3" t="s">
        <v>5</v>
      </c>
      <c r="B45" s="17" t="s">
        <v>33</v>
      </c>
      <c r="C45" s="6">
        <f>C37*(C40+C42-C43)/C44</f>
        <v>1766.6055462828811</v>
      </c>
      <c r="D45" s="17" t="str">
        <f>IF(C45&lt;1800,"OK","NOT OK")</f>
        <v>OK</v>
      </c>
    </row>
    <row r="46" spans="1:4">
      <c r="A46" s="92"/>
      <c r="B46" s="93"/>
      <c r="C46" s="93"/>
      <c r="D46" s="94"/>
    </row>
    <row r="47" spans="1:4" ht="30">
      <c r="A47" s="14" t="s">
        <v>64</v>
      </c>
      <c r="B47" s="17" t="s">
        <v>36</v>
      </c>
      <c r="C47" s="6">
        <f>C5/0.33/C2</f>
        <v>129.97979797979798</v>
      </c>
      <c r="D47" s="17"/>
    </row>
    <row r="48" spans="1:4">
      <c r="A48" s="3" t="s">
        <v>38</v>
      </c>
      <c r="B48" s="17" t="s">
        <v>17</v>
      </c>
      <c r="C48" s="17">
        <v>3.2</v>
      </c>
      <c r="D48" s="17"/>
    </row>
    <row r="49" spans="1:4">
      <c r="A49" s="3" t="s">
        <v>63</v>
      </c>
      <c r="B49" s="17" t="s">
        <v>37</v>
      </c>
      <c r="C49" s="17">
        <v>17</v>
      </c>
      <c r="D49" s="17"/>
    </row>
    <row r="50" spans="1:4">
      <c r="A50" s="3" t="s">
        <v>45</v>
      </c>
      <c r="B50" s="17" t="s">
        <v>36</v>
      </c>
      <c r="C50" s="6">
        <f>(C49*C48^2/4*PI())</f>
        <v>136.72211228422782</v>
      </c>
      <c r="D50" s="17"/>
    </row>
    <row r="51" spans="1:4">
      <c r="A51" s="3" t="s">
        <v>43</v>
      </c>
      <c r="B51" s="17" t="s">
        <v>44</v>
      </c>
      <c r="C51" s="6">
        <f>(C6^2+C7^2)^0.5/C50</f>
        <v>286.24756176290447</v>
      </c>
      <c r="D51" s="17" t="str">
        <f>IF(C51&lt;C52,"OK","NOT OK")</f>
        <v>OK</v>
      </c>
    </row>
    <row r="52" spans="1:4">
      <c r="A52" s="3" t="s">
        <v>46</v>
      </c>
      <c r="B52" s="17" t="s">
        <v>47</v>
      </c>
      <c r="C52" s="6">
        <f>0.17*C2</f>
        <v>1020.0000000000001</v>
      </c>
      <c r="D52" s="17"/>
    </row>
    <row r="53" spans="1:4">
      <c r="A53" s="3" t="s">
        <v>49</v>
      </c>
      <c r="B53" s="17" t="s">
        <v>48</v>
      </c>
      <c r="C53" s="6">
        <f>MIN(0.43*C2-1.8*C51,0.33*C2)</f>
        <v>1980</v>
      </c>
      <c r="D53" s="17"/>
    </row>
    <row r="54" spans="1:4">
      <c r="A54" s="3" t="s">
        <v>50</v>
      </c>
      <c r="B54" s="17" t="s">
        <v>51</v>
      </c>
      <c r="C54" s="8">
        <f>C5/C50</f>
        <v>1882.358279142012</v>
      </c>
      <c r="D54" s="17" t="str">
        <f>IF(C54&lt;C53,"OK","NOT OK")</f>
        <v>OK</v>
      </c>
    </row>
    <row r="55" spans="1:4">
      <c r="A55" s="3"/>
      <c r="B55" s="17"/>
      <c r="C55" s="5"/>
      <c r="D55" s="17"/>
    </row>
    <row r="56" spans="1:4">
      <c r="A56" s="3"/>
      <c r="B56" s="17"/>
      <c r="C56" s="5"/>
      <c r="D56" s="17"/>
    </row>
    <row r="57" spans="1:4">
      <c r="A57" s="3"/>
      <c r="B57" s="17"/>
      <c r="C57" s="5"/>
      <c r="D57" s="17"/>
    </row>
    <row r="58" spans="1:4">
      <c r="A58" s="3"/>
      <c r="B58" s="17"/>
      <c r="C58" s="5"/>
      <c r="D58" s="17"/>
    </row>
    <row r="59" spans="1:4">
      <c r="A59" s="3"/>
      <c r="B59" s="17"/>
      <c r="C59" s="5"/>
      <c r="D59" s="17"/>
    </row>
    <row r="60" spans="1:4">
      <c r="A60" s="3"/>
      <c r="B60" s="17"/>
      <c r="C60" s="5"/>
      <c r="D60" s="17"/>
    </row>
    <row r="61" spans="1:4">
      <c r="A61" s="3"/>
      <c r="B61" s="17"/>
      <c r="C61" s="5"/>
      <c r="D61" s="17"/>
    </row>
    <row r="62" spans="1:4">
      <c r="A62" s="3"/>
      <c r="B62" s="17"/>
      <c r="C62" s="5"/>
      <c r="D62" s="17"/>
    </row>
    <row r="63" spans="1:4">
      <c r="A63" s="3"/>
      <c r="B63" s="17"/>
      <c r="C63" s="5"/>
      <c r="D63" s="17"/>
    </row>
    <row r="64" spans="1:4">
      <c r="A64" s="3"/>
      <c r="B64" s="17"/>
      <c r="C64" s="5"/>
      <c r="D64" s="17"/>
    </row>
    <row r="65" spans="1:4">
      <c r="A65" s="3"/>
      <c r="B65" s="17"/>
      <c r="C65" s="5"/>
      <c r="D65" s="17"/>
    </row>
    <row r="66" spans="1:4">
      <c r="A66" s="3"/>
      <c r="B66" s="17"/>
      <c r="C66" s="5"/>
      <c r="D66" s="17"/>
    </row>
    <row r="67" spans="1:4">
      <c r="A67" s="3"/>
      <c r="B67" s="17"/>
      <c r="C67" s="5"/>
      <c r="D67" s="17"/>
    </row>
  </sheetData>
  <mergeCells count="1">
    <mergeCell ref="A46:D4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4"/>
  <sheetViews>
    <sheetView rightToLeft="1" tabSelected="1" zoomScaleNormal="100" workbookViewId="0">
      <selection activeCell="D5" sqref="D5"/>
    </sheetView>
  </sheetViews>
  <sheetFormatPr defaultRowHeight="18"/>
  <cols>
    <col min="1" max="1" width="9" style="31"/>
    <col min="2" max="2" width="20.7109375" style="31" customWidth="1"/>
    <col min="3" max="3" width="5.7109375" customWidth="1"/>
    <col min="5" max="5" width="13.5703125" style="1" customWidth="1"/>
    <col min="6" max="6" width="12.85546875" style="19" customWidth="1"/>
  </cols>
  <sheetData>
    <row r="1" spans="1:11" ht="28.5" thickBot="1">
      <c r="A1" s="99" t="s">
        <v>188</v>
      </c>
      <c r="B1" s="100"/>
      <c r="C1" s="100"/>
      <c r="D1" s="100"/>
      <c r="E1" s="100"/>
      <c r="F1" s="101"/>
    </row>
    <row r="2" spans="1:11" ht="22.5" customHeight="1" thickBot="1">
      <c r="A2" s="95" t="s">
        <v>75</v>
      </c>
      <c r="B2" s="95"/>
      <c r="C2" s="95"/>
      <c r="D2" s="95"/>
      <c r="E2" s="95"/>
      <c r="F2" s="95"/>
    </row>
    <row r="3" spans="1:11">
      <c r="A3" s="102" t="s">
        <v>65</v>
      </c>
      <c r="B3" s="102"/>
      <c r="C3" s="53" t="s">
        <v>42</v>
      </c>
      <c r="D3" s="64" t="s">
        <v>67</v>
      </c>
      <c r="E3" s="76">
        <v>210</v>
      </c>
      <c r="F3" s="77"/>
    </row>
    <row r="4" spans="1:11">
      <c r="A4" s="103" t="s">
        <v>78</v>
      </c>
      <c r="B4" s="103"/>
      <c r="C4" s="21" t="s">
        <v>79</v>
      </c>
      <c r="D4" s="17" t="s">
        <v>67</v>
      </c>
      <c r="E4" s="40">
        <v>3000</v>
      </c>
      <c r="F4" s="78"/>
    </row>
    <row r="5" spans="1:11">
      <c r="A5" s="103" t="s">
        <v>66</v>
      </c>
      <c r="B5" s="103"/>
      <c r="C5" s="21" t="s">
        <v>79</v>
      </c>
      <c r="D5" s="17" t="s">
        <v>67</v>
      </c>
      <c r="E5" s="40">
        <v>2200</v>
      </c>
      <c r="F5" s="78"/>
    </row>
    <row r="6" spans="1:11" ht="18.75" thickBot="1">
      <c r="A6" s="104" t="s">
        <v>9</v>
      </c>
      <c r="B6" s="104"/>
      <c r="C6" s="49" t="s">
        <v>41</v>
      </c>
      <c r="D6" s="57" t="s">
        <v>67</v>
      </c>
      <c r="E6" s="75">
        <v>2400</v>
      </c>
      <c r="F6" s="80"/>
    </row>
    <row r="7" spans="1:11" ht="23.25" thickBot="1">
      <c r="A7" s="95" t="s">
        <v>82</v>
      </c>
      <c r="B7" s="95"/>
      <c r="C7" s="95"/>
      <c r="D7" s="95"/>
      <c r="E7" s="95"/>
      <c r="F7" s="95"/>
      <c r="H7" s="16"/>
      <c r="I7" s="33"/>
      <c r="J7" s="33"/>
    </row>
    <row r="8" spans="1:11">
      <c r="A8" s="102" t="s">
        <v>76</v>
      </c>
      <c r="B8" s="102"/>
      <c r="C8" s="53"/>
      <c r="D8" s="64" t="s">
        <v>68</v>
      </c>
      <c r="E8" s="76">
        <v>600</v>
      </c>
      <c r="F8" s="77"/>
      <c r="H8" s="22"/>
      <c r="I8" s="22"/>
      <c r="J8" s="16"/>
      <c r="K8" s="18"/>
    </row>
    <row r="9" spans="1:11">
      <c r="A9" s="103" t="s">
        <v>77</v>
      </c>
      <c r="B9" s="103"/>
      <c r="C9" s="21"/>
      <c r="D9" s="17" t="s">
        <v>68</v>
      </c>
      <c r="E9" s="40">
        <v>75</v>
      </c>
      <c r="F9" s="78"/>
    </row>
    <row r="10" spans="1:11">
      <c r="A10" s="103" t="s">
        <v>80</v>
      </c>
      <c r="B10" s="103"/>
      <c r="C10" s="21"/>
      <c r="D10" s="17" t="s">
        <v>68</v>
      </c>
      <c r="E10" s="40">
        <v>26</v>
      </c>
      <c r="F10" s="78"/>
    </row>
    <row r="11" spans="1:11">
      <c r="A11" s="103" t="s">
        <v>81</v>
      </c>
      <c r="B11" s="103"/>
      <c r="C11" s="21"/>
      <c r="D11" s="17" t="s">
        <v>68</v>
      </c>
      <c r="E11" s="40">
        <v>30</v>
      </c>
      <c r="F11" s="78"/>
    </row>
    <row r="12" spans="1:11" ht="18.75" thickBot="1">
      <c r="A12" s="104" t="s">
        <v>129</v>
      </c>
      <c r="B12" s="104"/>
      <c r="C12" s="49"/>
      <c r="D12" s="57" t="s">
        <v>68</v>
      </c>
      <c r="E12" s="75">
        <v>6</v>
      </c>
      <c r="F12" s="80"/>
    </row>
    <row r="13" spans="1:11" ht="23.25" thickBot="1">
      <c r="A13" s="95" t="s">
        <v>83</v>
      </c>
      <c r="B13" s="95"/>
      <c r="C13" s="95"/>
      <c r="D13" s="95"/>
      <c r="E13" s="95"/>
      <c r="F13" s="95"/>
    </row>
    <row r="14" spans="1:11">
      <c r="A14" s="102" t="s">
        <v>84</v>
      </c>
      <c r="B14" s="102"/>
      <c r="C14" s="53" t="s">
        <v>132</v>
      </c>
      <c r="D14" s="64" t="s">
        <v>88</v>
      </c>
      <c r="E14" s="76">
        <v>200</v>
      </c>
      <c r="F14" s="77"/>
    </row>
    <row r="15" spans="1:11">
      <c r="A15" s="103" t="s">
        <v>85</v>
      </c>
      <c r="B15" s="103"/>
      <c r="C15" s="21" t="s">
        <v>133</v>
      </c>
      <c r="D15" s="17" t="s">
        <v>88</v>
      </c>
      <c r="E15" s="40">
        <v>80</v>
      </c>
      <c r="F15" s="78"/>
    </row>
    <row r="16" spans="1:11">
      <c r="A16" s="103" t="s">
        <v>86</v>
      </c>
      <c r="B16" s="103"/>
      <c r="C16" s="21" t="s">
        <v>134</v>
      </c>
      <c r="D16" s="17" t="s">
        <v>88</v>
      </c>
      <c r="E16" s="39">
        <v>200</v>
      </c>
      <c r="F16" s="78"/>
    </row>
    <row r="17" spans="1:15" ht="18.75" thickBot="1">
      <c r="A17" s="104" t="s">
        <v>87</v>
      </c>
      <c r="B17" s="104"/>
      <c r="C17" s="49" t="s">
        <v>135</v>
      </c>
      <c r="D17" s="57" t="s">
        <v>88</v>
      </c>
      <c r="E17" s="74">
        <v>500</v>
      </c>
      <c r="F17" s="80"/>
    </row>
    <row r="18" spans="1:15" ht="23.25" thickBot="1">
      <c r="A18" s="95" t="s">
        <v>89</v>
      </c>
      <c r="B18" s="95"/>
      <c r="C18" s="95"/>
      <c r="D18" s="95"/>
      <c r="E18" s="95"/>
      <c r="F18" s="95"/>
    </row>
    <row r="19" spans="1:15">
      <c r="A19" s="102" t="s">
        <v>90</v>
      </c>
      <c r="B19" s="102"/>
      <c r="C19" s="53" t="s">
        <v>136</v>
      </c>
      <c r="D19" s="64" t="s">
        <v>92</v>
      </c>
      <c r="E19" s="60">
        <f>(E14+E15)*E9/100*(E8/100)^2/8</f>
        <v>945</v>
      </c>
      <c r="F19" s="83"/>
    </row>
    <row r="20" spans="1:15">
      <c r="A20" s="103" t="s">
        <v>91</v>
      </c>
      <c r="B20" s="103"/>
      <c r="C20" s="17" t="s">
        <v>137</v>
      </c>
      <c r="D20" s="17" t="s">
        <v>92</v>
      </c>
      <c r="E20" s="45">
        <f>(E16+E17)*E9/100*(E8/100)^2/8</f>
        <v>2362.5</v>
      </c>
      <c r="F20" s="78"/>
    </row>
    <row r="21" spans="1:15" ht="36" customHeight="1">
      <c r="A21" s="105" t="s">
        <v>140</v>
      </c>
      <c r="B21" s="105"/>
      <c r="C21" s="17" t="s">
        <v>138</v>
      </c>
      <c r="D21" s="17" t="s">
        <v>92</v>
      </c>
      <c r="E21" s="45">
        <f>(E16+E17-E14)*E9/100*(E8/100)^2/8</f>
        <v>1687.5</v>
      </c>
      <c r="F21" s="78"/>
    </row>
    <row r="22" spans="1:15" ht="18.75" thickBot="1">
      <c r="A22" s="104" t="s">
        <v>131</v>
      </c>
      <c r="B22" s="104"/>
      <c r="C22" s="49" t="s">
        <v>139</v>
      </c>
      <c r="D22" s="57" t="s">
        <v>92</v>
      </c>
      <c r="E22" s="58">
        <f>(E16)*E9/100*(E8/100)^2/8</f>
        <v>675</v>
      </c>
      <c r="F22" s="80"/>
    </row>
    <row r="23" spans="1:15" ht="23.25" thickBot="1">
      <c r="A23" s="95" t="s">
        <v>93</v>
      </c>
      <c r="B23" s="95"/>
      <c r="C23" s="95"/>
      <c r="D23" s="95"/>
      <c r="E23" s="95"/>
      <c r="F23" s="95"/>
    </row>
    <row r="24" spans="1:15" ht="33.75" customHeight="1">
      <c r="A24" s="106" t="s">
        <v>95</v>
      </c>
      <c r="B24" s="106"/>
      <c r="C24" s="56" t="s">
        <v>97</v>
      </c>
      <c r="D24" s="64" t="s">
        <v>99</v>
      </c>
      <c r="E24" s="66">
        <f>E19*100/E10/0.6/E6</f>
        <v>2.5240384615384617</v>
      </c>
      <c r="F24" s="83"/>
    </row>
    <row r="25" spans="1:15" ht="33.75" customHeight="1" thickBot="1">
      <c r="A25" s="107" t="s">
        <v>96</v>
      </c>
      <c r="B25" s="107"/>
      <c r="C25" s="52" t="s">
        <v>98</v>
      </c>
      <c r="D25" s="57" t="s">
        <v>99</v>
      </c>
      <c r="E25" s="72">
        <f>E20*100/E11/0.6/E6</f>
        <v>5.46875</v>
      </c>
      <c r="F25" s="84"/>
    </row>
    <row r="26" spans="1:15" ht="23.25" thickBot="1">
      <c r="A26" s="95" t="s">
        <v>94</v>
      </c>
      <c r="B26" s="95"/>
      <c r="C26" s="95"/>
      <c r="D26" s="95"/>
      <c r="E26" s="95"/>
      <c r="F26" s="95"/>
    </row>
    <row r="27" spans="1:15">
      <c r="A27" s="102" t="s">
        <v>100</v>
      </c>
      <c r="B27" s="102"/>
      <c r="C27" s="53"/>
      <c r="D27" s="64" t="s">
        <v>68</v>
      </c>
      <c r="E27" s="73">
        <v>10</v>
      </c>
      <c r="F27" s="77"/>
    </row>
    <row r="28" spans="1:15">
      <c r="A28" s="103" t="s">
        <v>101</v>
      </c>
      <c r="B28" s="103"/>
      <c r="C28" s="21"/>
      <c r="D28" s="17" t="s">
        <v>68</v>
      </c>
      <c r="E28" s="38">
        <v>0.5</v>
      </c>
      <c r="F28" s="78"/>
    </row>
    <row r="29" spans="1:15">
      <c r="A29" s="103" t="s">
        <v>102</v>
      </c>
      <c r="B29" s="103"/>
      <c r="C29" s="21"/>
      <c r="D29" s="17" t="s">
        <v>105</v>
      </c>
      <c r="E29" s="38">
        <v>8</v>
      </c>
      <c r="F29" s="78"/>
    </row>
    <row r="30" spans="1:15" ht="18.75" thickBot="1">
      <c r="A30" s="108" t="s">
        <v>96</v>
      </c>
      <c r="B30" s="108"/>
      <c r="C30" s="7" t="s">
        <v>98</v>
      </c>
      <c r="D30" s="7" t="s">
        <v>99</v>
      </c>
      <c r="E30" s="35">
        <f>E27*E28+PI()/4*(E29/10)^2</f>
        <v>5.5026548245743667</v>
      </c>
      <c r="F30" s="78"/>
    </row>
    <row r="31" spans="1:15">
      <c r="A31" s="103" t="s">
        <v>104</v>
      </c>
      <c r="B31" s="103"/>
      <c r="C31" s="21"/>
      <c r="D31" s="17" t="s">
        <v>105</v>
      </c>
      <c r="E31" s="39">
        <v>12</v>
      </c>
      <c r="F31" s="78"/>
      <c r="K31" s="23" t="s">
        <v>70</v>
      </c>
      <c r="L31" s="24" t="s">
        <v>71</v>
      </c>
      <c r="M31" s="24" t="s">
        <v>72</v>
      </c>
      <c r="N31" s="24" t="s">
        <v>73</v>
      </c>
      <c r="O31" s="25" t="s">
        <v>74</v>
      </c>
    </row>
    <row r="32" spans="1:15">
      <c r="A32" s="109" t="s">
        <v>103</v>
      </c>
      <c r="B32" s="109"/>
      <c r="C32" s="21"/>
      <c r="D32" s="17" t="s">
        <v>68</v>
      </c>
      <c r="E32" s="38">
        <v>5</v>
      </c>
      <c r="F32" s="82"/>
      <c r="K32" s="26">
        <v>1.4</v>
      </c>
      <c r="L32" s="17">
        <v>0.56999999999999995</v>
      </c>
      <c r="M32" s="17">
        <v>0.84</v>
      </c>
      <c r="N32" s="17">
        <v>1.74</v>
      </c>
      <c r="O32" s="27">
        <v>3</v>
      </c>
    </row>
    <row r="33" spans="1:15">
      <c r="A33" s="109" t="s">
        <v>111</v>
      </c>
      <c r="B33" s="109"/>
      <c r="C33" s="17" t="s">
        <v>97</v>
      </c>
      <c r="D33" s="17" t="s">
        <v>99</v>
      </c>
      <c r="E33" s="35">
        <f>E34+PI()/4*(E31/10)^2</f>
        <v>5.9309733552923252</v>
      </c>
      <c r="F33" s="82"/>
      <c r="K33" s="26">
        <v>4.47</v>
      </c>
      <c r="L33" s="17">
        <v>0.78</v>
      </c>
      <c r="M33" s="17">
        <v>1.1200000000000001</v>
      </c>
      <c r="N33" s="17">
        <v>3.08</v>
      </c>
      <c r="O33" s="27">
        <v>4</v>
      </c>
    </row>
    <row r="34" spans="1:15" ht="18" customHeight="1">
      <c r="A34" s="109" t="s">
        <v>109</v>
      </c>
      <c r="B34" s="109"/>
      <c r="C34" s="17" t="s">
        <v>73</v>
      </c>
      <c r="D34" s="17" t="s">
        <v>99</v>
      </c>
      <c r="E34" s="34">
        <f>IF(E32=O32,N32,IF(E32=O33,N33,IF(E32=O34,N34,IF(E32=O35,N35))))</f>
        <v>4.8</v>
      </c>
      <c r="F34" s="82"/>
      <c r="K34" s="26">
        <v>11</v>
      </c>
      <c r="L34" s="17">
        <v>0.98</v>
      </c>
      <c r="M34" s="17">
        <v>1.4</v>
      </c>
      <c r="N34" s="17">
        <v>4.8</v>
      </c>
      <c r="O34" s="27">
        <v>5</v>
      </c>
    </row>
    <row r="35" spans="1:15" ht="18" customHeight="1" thickBot="1">
      <c r="A35" s="109"/>
      <c r="B35" s="109"/>
      <c r="C35" s="17" t="s">
        <v>72</v>
      </c>
      <c r="D35" s="17" t="s">
        <v>68</v>
      </c>
      <c r="E35" s="34">
        <f>IF(E32=O32,M32,IF(E32=O33,M33,IF(E32=O34,M34,IF(E32=O35,M35))))</f>
        <v>1.4</v>
      </c>
      <c r="F35" s="82"/>
      <c r="K35" s="28">
        <v>22.8</v>
      </c>
      <c r="L35" s="29">
        <v>1.17</v>
      </c>
      <c r="M35" s="29">
        <v>1.69</v>
      </c>
      <c r="N35" s="29">
        <v>6.91</v>
      </c>
      <c r="O35" s="30">
        <v>6</v>
      </c>
    </row>
    <row r="36" spans="1:15" ht="18" customHeight="1">
      <c r="A36" s="109"/>
      <c r="B36" s="109"/>
      <c r="C36" s="17" t="s">
        <v>107</v>
      </c>
      <c r="D36" s="17" t="s">
        <v>68</v>
      </c>
      <c r="E36" s="34">
        <f>IF(E32=O32,L32,IF(E32=O33,L33,IF(E32=O34,L34,IF(E32=O35,L35))))</f>
        <v>0.98</v>
      </c>
      <c r="F36" s="82"/>
    </row>
    <row r="37" spans="1:15" ht="18" customHeight="1">
      <c r="A37" s="109"/>
      <c r="B37" s="109"/>
      <c r="C37" s="17" t="s">
        <v>108</v>
      </c>
      <c r="D37" s="17" t="s">
        <v>110</v>
      </c>
      <c r="E37" s="34">
        <f>IF(E32=O32,K32,IF(E32=O33,K33,IF(E32=O34,K34,IF(E32=O35,K35))))</f>
        <v>11</v>
      </c>
      <c r="F37" s="82"/>
    </row>
    <row r="38" spans="1:15" ht="18" customHeight="1">
      <c r="A38" s="110" t="s">
        <v>160</v>
      </c>
      <c r="B38" s="111"/>
      <c r="C38" s="17"/>
      <c r="D38" s="17" t="s">
        <v>105</v>
      </c>
      <c r="E38" s="44">
        <v>12</v>
      </c>
      <c r="F38" s="87"/>
    </row>
    <row r="39" spans="1:15" ht="18" customHeight="1" thickBot="1">
      <c r="A39" s="112" t="s">
        <v>161</v>
      </c>
      <c r="B39" s="113"/>
      <c r="C39" s="57"/>
      <c r="D39" s="57" t="s">
        <v>68</v>
      </c>
      <c r="E39" s="70">
        <v>25</v>
      </c>
      <c r="F39" s="84"/>
    </row>
    <row r="40" spans="1:15" ht="23.25" thickBot="1">
      <c r="A40" s="95" t="s">
        <v>106</v>
      </c>
      <c r="B40" s="95"/>
      <c r="C40" s="95"/>
      <c r="D40" s="95"/>
      <c r="E40" s="95"/>
      <c r="F40" s="95"/>
    </row>
    <row r="41" spans="1:15">
      <c r="A41" s="102" t="s">
        <v>112</v>
      </c>
      <c r="B41" s="102"/>
      <c r="C41" s="71" t="s">
        <v>124</v>
      </c>
      <c r="D41" s="64" t="s">
        <v>68</v>
      </c>
      <c r="E41" s="66">
        <f>(E27*E28*E28/2+PI()/4*(E29/10)^2*(E28+E29/20)+E34*(E10-E35)+PI()/4*(E31/10)^2*(E10-E32/2))/(E30+E33)</f>
        <v>12.800859087687513</v>
      </c>
      <c r="F41" s="77"/>
    </row>
    <row r="42" spans="1:15">
      <c r="A42" s="103" t="s">
        <v>113</v>
      </c>
      <c r="B42" s="103"/>
      <c r="C42" s="17" t="s">
        <v>108</v>
      </c>
      <c r="D42" s="17" t="s">
        <v>110</v>
      </c>
      <c r="E42" s="45">
        <f>E27*E28^3/12+E27*E28*(E41-E28/2)^2+PI()/4*(E29/10)^2*(E41-E28-E29/20)^2+E37+E34*(E10-E41-E35)^2+PI()/4*(E31/20)^4+PI()/4*(E31/10)^2*(E10-E41-E32/2)^2</f>
        <v>1667.736534985658</v>
      </c>
      <c r="F42" s="78"/>
    </row>
    <row r="43" spans="1:15">
      <c r="A43" s="103" t="s">
        <v>114</v>
      </c>
      <c r="B43" s="103"/>
      <c r="C43" s="17" t="s">
        <v>116</v>
      </c>
      <c r="D43" s="17" t="s">
        <v>126</v>
      </c>
      <c r="E43" s="45">
        <f>E42/(E10-E41)</f>
        <v>126.35190017783293</v>
      </c>
      <c r="F43" s="82"/>
    </row>
    <row r="44" spans="1:15" ht="18.75" thickBot="1">
      <c r="A44" s="104" t="s">
        <v>115</v>
      </c>
      <c r="B44" s="104"/>
      <c r="C44" s="57" t="s">
        <v>117</v>
      </c>
      <c r="D44" s="57" t="s">
        <v>126</v>
      </c>
      <c r="E44" s="58">
        <f>E42/E41</f>
        <v>130.28317268094668</v>
      </c>
      <c r="F44" s="84"/>
    </row>
    <row r="45" spans="1:15" ht="23.25" thickBot="1">
      <c r="A45" s="95" t="s">
        <v>118</v>
      </c>
      <c r="B45" s="95"/>
      <c r="C45" s="95"/>
      <c r="D45" s="95"/>
      <c r="E45" s="95"/>
      <c r="F45" s="95"/>
    </row>
    <row r="46" spans="1:15">
      <c r="A46" s="102" t="s">
        <v>176</v>
      </c>
      <c r="B46" s="102"/>
      <c r="C46" s="68" t="s">
        <v>179</v>
      </c>
      <c r="D46" s="64" t="s">
        <v>68</v>
      </c>
      <c r="E46" s="69">
        <v>50</v>
      </c>
      <c r="F46" s="86">
        <f>E47/(6440/(E6)^0.5)</f>
        <v>0.3881179082873587</v>
      </c>
    </row>
    <row r="47" spans="1:15">
      <c r="A47" s="103" t="s">
        <v>180</v>
      </c>
      <c r="B47" s="103"/>
      <c r="C47" s="36" t="s">
        <v>169</v>
      </c>
      <c r="D47" s="42" t="s">
        <v>181</v>
      </c>
      <c r="E47" s="47">
        <f>E46/E36</f>
        <v>51.020408163265309</v>
      </c>
      <c r="F47" s="82" t="str">
        <f>IF(E47&lt;145,"OK","N.G")</f>
        <v>OK</v>
      </c>
    </row>
    <row r="48" spans="1:15">
      <c r="A48" s="114" t="s">
        <v>177</v>
      </c>
      <c r="B48" s="114"/>
      <c r="C48" s="37" t="s">
        <v>178</v>
      </c>
      <c r="D48" s="17" t="s">
        <v>67</v>
      </c>
      <c r="E48" s="47">
        <f>IF(E47&lt;131,(1-0.5*F46^2)*E6/(1.67+0.375*F46-0.125*F46^3),0)</f>
        <v>1227.2939895923721</v>
      </c>
      <c r="F48" s="82"/>
    </row>
    <row r="49" spans="1:6">
      <c r="A49" s="103" t="s">
        <v>119</v>
      </c>
      <c r="B49" s="103"/>
      <c r="C49" s="17" t="s">
        <v>51</v>
      </c>
      <c r="D49" s="17" t="s">
        <v>67</v>
      </c>
      <c r="E49" s="47">
        <f>E19/E43*100</f>
        <v>747.91118983566344</v>
      </c>
      <c r="F49" s="82" t="str">
        <f>IF(E49&lt;E48,"OK","N.G")</f>
        <v>OK</v>
      </c>
    </row>
    <row r="50" spans="1:6" ht="18.75" thickBot="1">
      <c r="A50" s="104" t="s">
        <v>120</v>
      </c>
      <c r="B50" s="104"/>
      <c r="C50" s="57" t="s">
        <v>33</v>
      </c>
      <c r="D50" s="57" t="s">
        <v>67</v>
      </c>
      <c r="E50" s="58">
        <f>E19/E44*100</f>
        <v>725.34309731175438</v>
      </c>
      <c r="F50" s="84" t="str">
        <f>IF(E50&lt;0.6*E6,"OK","N.G")</f>
        <v>OK</v>
      </c>
    </row>
    <row r="51" spans="1:6" ht="23.25" thickBot="1">
      <c r="A51" s="95" t="s">
        <v>122</v>
      </c>
      <c r="B51" s="95"/>
      <c r="C51" s="95"/>
      <c r="D51" s="95"/>
      <c r="E51" s="95"/>
      <c r="F51" s="95"/>
    </row>
    <row r="52" spans="1:6">
      <c r="A52" s="106" t="s">
        <v>125</v>
      </c>
      <c r="B52" s="106"/>
      <c r="C52" s="64" t="s">
        <v>123</v>
      </c>
      <c r="D52" s="64" t="s">
        <v>68</v>
      </c>
      <c r="E52" s="66">
        <f>MIN(E8/4,16*E12+10,E9)/(2.1*10^6/(15100*(E3)^0.5))</f>
        <v>7.8149924595521609</v>
      </c>
      <c r="F52" s="77"/>
    </row>
    <row r="53" spans="1:6" ht="31.5" customHeight="1">
      <c r="A53" s="109" t="s">
        <v>186</v>
      </c>
      <c r="B53" s="109"/>
      <c r="C53" s="17"/>
      <c r="D53" s="41" t="s">
        <v>187</v>
      </c>
      <c r="E53" s="48" t="str">
        <f>IF(F53&gt;(E11-E12),"تار خنثی در بتن قرار دارد","تار خنثی در فولاد قرار دارد")</f>
        <v>تار خنثی در بتن قرار دارد</v>
      </c>
      <c r="F53" s="85">
        <f>(E27*E28*E28/2+PI()/4*(E29/10)^2*(E28+E29/20)+E52*E12*(E11-E12/2))/(E30+E52*E12)</f>
        <v>24.196755571187179</v>
      </c>
    </row>
    <row r="54" spans="1:6" ht="19.5" customHeight="1">
      <c r="A54" s="109" t="s">
        <v>127</v>
      </c>
      <c r="B54" s="109"/>
      <c r="C54" s="36" t="s">
        <v>124</v>
      </c>
      <c r="D54" s="17" t="s">
        <v>68</v>
      </c>
      <c r="E54" s="35">
        <f>IF(F53&gt;(E11-E12),(E27*E28/E52+PI()/4*(E29/10)^2/E52+E11-(-4*E52*(E27*E28^2+2*E28*PI()/4*(E29/10)^2+PI()/4*(E29/10)^3+E52*E11^2)+(2*E27*E28+2*PI()/4*(E29/10)^2+2*E52*E11)^2)^0.5/(2*E52)),F53)</f>
        <v>24.199730787636867</v>
      </c>
      <c r="F54" s="78"/>
    </row>
    <row r="55" spans="1:6">
      <c r="A55" s="109" t="s">
        <v>128</v>
      </c>
      <c r="B55" s="109"/>
      <c r="C55" s="17" t="s">
        <v>108</v>
      </c>
      <c r="D55" s="17" t="s">
        <v>110</v>
      </c>
      <c r="E55" s="45">
        <f>E27*E28^3/12+E27*E28*(E54-E28/2)^2+PI()/4*(E29/20)^4+PI()/4*(E29/10)^2*(E54-E28-E29/20)^2+E52*E12^3/12+E52*E12*(E11-E54-E12/2)^2</f>
        <v>3649.310072415632</v>
      </c>
      <c r="F55" s="82"/>
    </row>
    <row r="56" spans="1:6">
      <c r="A56" s="109" t="s">
        <v>114</v>
      </c>
      <c r="B56" s="109"/>
      <c r="C56" s="17" t="s">
        <v>116</v>
      </c>
      <c r="D56" s="17" t="s">
        <v>126</v>
      </c>
      <c r="E56" s="45">
        <f>E55/(E11-E54)</f>
        <v>629.16218865103986</v>
      </c>
      <c r="F56" s="82"/>
    </row>
    <row r="57" spans="1:6" ht="18.75" thickBot="1">
      <c r="A57" s="107" t="s">
        <v>115</v>
      </c>
      <c r="B57" s="107"/>
      <c r="C57" s="57" t="s">
        <v>117</v>
      </c>
      <c r="D57" s="57" t="s">
        <v>126</v>
      </c>
      <c r="E57" s="58">
        <f>E55/E54</f>
        <v>150.79961444364446</v>
      </c>
      <c r="F57" s="84" t="str">
        <f>IF(E57&lt;(1.35+0.33*E19/E22)*E44,"OK","N.G")</f>
        <v>OK</v>
      </c>
    </row>
    <row r="58" spans="1:6" ht="23.25" thickBot="1">
      <c r="A58" s="95" t="s">
        <v>130</v>
      </c>
      <c r="B58" s="95"/>
      <c r="C58" s="95"/>
      <c r="D58" s="95"/>
      <c r="E58" s="95"/>
      <c r="F58" s="95"/>
    </row>
    <row r="59" spans="1:6" ht="36" customHeight="1">
      <c r="A59" s="115" t="s">
        <v>141</v>
      </c>
      <c r="B59" s="115"/>
      <c r="C59" s="64" t="s">
        <v>51</v>
      </c>
      <c r="D59" s="64" t="s">
        <v>67</v>
      </c>
      <c r="E59" s="60">
        <f>E21*100/E56</f>
        <v>268.21382950842894</v>
      </c>
      <c r="F59" s="83" t="str">
        <f>IF(E59&lt;0.6*E6,"OK","N.G")</f>
        <v>OK</v>
      </c>
    </row>
    <row r="60" spans="1:6" ht="22.5" customHeight="1">
      <c r="A60" s="109" t="s">
        <v>142</v>
      </c>
      <c r="B60" s="109"/>
      <c r="C60" s="17" t="s">
        <v>143</v>
      </c>
      <c r="D60" s="17" t="s">
        <v>67</v>
      </c>
      <c r="E60" s="45">
        <f>E21*100/(2.1*10^6/(15100*(E3)^0.5))/E56</f>
        <v>27.947854068746409</v>
      </c>
      <c r="F60" s="82" t="str">
        <f>IF(E60&lt;0.45*E3,"OK","N.G")</f>
        <v>OK</v>
      </c>
    </row>
    <row r="61" spans="1:6" ht="21" customHeight="1" thickBot="1">
      <c r="A61" s="107" t="s">
        <v>120</v>
      </c>
      <c r="B61" s="107"/>
      <c r="C61" s="49" t="s">
        <v>33</v>
      </c>
      <c r="D61" s="57" t="s">
        <v>67</v>
      </c>
      <c r="E61" s="58">
        <f>E14*E9*E8^2/8/E44/10000+E21/E57*100</f>
        <v>1637.1369036847518</v>
      </c>
      <c r="F61" s="84" t="str">
        <f>IF(E61&lt;0.9*E6,"OK","N.G")</f>
        <v>OK</v>
      </c>
    </row>
    <row r="62" spans="1:6" ht="23.25" thickBot="1">
      <c r="A62" s="95" t="s">
        <v>144</v>
      </c>
      <c r="B62" s="95"/>
      <c r="C62" s="95"/>
      <c r="D62" s="95"/>
      <c r="E62" s="95"/>
      <c r="F62" s="95"/>
    </row>
    <row r="63" spans="1:6">
      <c r="A63" s="102" t="s">
        <v>145</v>
      </c>
      <c r="B63" s="102"/>
      <c r="C63" s="53" t="s">
        <v>146</v>
      </c>
      <c r="D63" s="64" t="s">
        <v>68</v>
      </c>
      <c r="E63" s="67">
        <f>5*E14*E9*E8^4/384/2.1/E42/10000000000</f>
        <v>0.72275033710136261</v>
      </c>
      <c r="F63" s="83"/>
    </row>
    <row r="64" spans="1:6">
      <c r="A64" s="103" t="s">
        <v>148</v>
      </c>
      <c r="B64" s="103"/>
      <c r="C64" s="21" t="s">
        <v>147</v>
      </c>
      <c r="D64" s="17" t="s">
        <v>68</v>
      </c>
      <c r="E64" s="46">
        <f>5*(E16+E17-E14)*E9*E8^4/384/2.1/E55/10000000000</f>
        <v>0.82574316715931062</v>
      </c>
      <c r="F64" s="82"/>
    </row>
    <row r="65" spans="1:9">
      <c r="A65" s="103" t="s">
        <v>149</v>
      </c>
      <c r="B65" s="103"/>
      <c r="C65" s="21" t="s">
        <v>159</v>
      </c>
      <c r="D65" s="17" t="s">
        <v>68</v>
      </c>
      <c r="E65" s="46">
        <f>E63+E64</f>
        <v>1.5484935042606733</v>
      </c>
      <c r="F65" s="82" t="str">
        <f>IF(E65&lt;E8/240,"OK","N.G")</f>
        <v>OK</v>
      </c>
    </row>
    <row r="66" spans="1:9" ht="18.75" thickBot="1">
      <c r="A66" s="104" t="s">
        <v>150</v>
      </c>
      <c r="B66" s="104"/>
      <c r="C66" s="49" t="s">
        <v>151</v>
      </c>
      <c r="D66" s="57" t="s">
        <v>68</v>
      </c>
      <c r="E66" s="65">
        <f>5*E16*E9*E8^4/384/2.1/E55/10000000000</f>
        <v>0.33029726686372424</v>
      </c>
      <c r="F66" s="84" t="str">
        <f>IF(E66&lt;E8/360,"OK","N.G")</f>
        <v>OK</v>
      </c>
    </row>
    <row r="67" spans="1:9" ht="23.25" thickBot="1">
      <c r="A67" s="95" t="s">
        <v>152</v>
      </c>
      <c r="B67" s="95"/>
      <c r="C67" s="95"/>
      <c r="D67" s="95"/>
      <c r="E67" s="95"/>
      <c r="F67" s="95"/>
    </row>
    <row r="68" spans="1:9">
      <c r="A68" s="102" t="s">
        <v>153</v>
      </c>
      <c r="B68" s="102"/>
      <c r="C68" s="53" t="s">
        <v>121</v>
      </c>
      <c r="D68" s="64" t="s">
        <v>154</v>
      </c>
      <c r="E68" s="66">
        <f>70*(E55*10000/E17/E9/100/(E8/100)^4)^0.5</f>
        <v>6.065760913737595</v>
      </c>
      <c r="F68" s="83" t="str">
        <f>IF(E68&gt;5,"OK","N.G")</f>
        <v>OK</v>
      </c>
    </row>
    <row r="69" spans="1:9" ht="18.75" thickBot="1">
      <c r="A69" s="104" t="s">
        <v>155</v>
      </c>
      <c r="B69" s="104"/>
      <c r="C69" s="49" t="s">
        <v>157</v>
      </c>
      <c r="D69" s="61" t="s">
        <v>156</v>
      </c>
      <c r="E69" s="62">
        <f>E11/E8</f>
        <v>0.05</v>
      </c>
      <c r="F69" s="84" t="str">
        <f>IF(E69&gt;1/200,"OK","N.G")</f>
        <v>OK</v>
      </c>
    </row>
    <row r="70" spans="1:9" ht="23.25" thickBot="1">
      <c r="A70" s="95" t="s">
        <v>163</v>
      </c>
      <c r="B70" s="95"/>
      <c r="C70" s="95"/>
      <c r="D70" s="95"/>
      <c r="E70" s="95"/>
      <c r="F70" s="95"/>
      <c r="H70" s="97" t="s">
        <v>172</v>
      </c>
      <c r="I70" s="98"/>
    </row>
    <row r="71" spans="1:9">
      <c r="A71" s="116" t="s">
        <v>165</v>
      </c>
      <c r="B71" s="117"/>
      <c r="C71" s="63"/>
      <c r="D71" s="64" t="s">
        <v>158</v>
      </c>
      <c r="E71" s="60">
        <f>(E14+E15)*E9/100*(E8/100)/2</f>
        <v>630</v>
      </c>
      <c r="F71" s="118" t="str">
        <f>IF(E71&lt;E72,"OK","N.G")</f>
        <v>OK</v>
      </c>
      <c r="H71" s="15">
        <f>DEGREES(ATAN(E10/(E39/2)))</f>
        <v>64.323184318161793</v>
      </c>
      <c r="I71" s="43" t="s">
        <v>170</v>
      </c>
    </row>
    <row r="72" spans="1:9">
      <c r="A72" s="110" t="s">
        <v>166</v>
      </c>
      <c r="B72" s="111"/>
      <c r="C72" s="32"/>
      <c r="D72" s="17" t="s">
        <v>158</v>
      </c>
      <c r="E72" s="45">
        <f>IF(H75&lt;131,(1-0.5*H76^2)*E6/(1.67+0.375*H76-0.125*H76^3),0)*PI()/4*(E38/10)^2*SIN(RADIANS(H71))</f>
        <v>949.63817114994004</v>
      </c>
      <c r="F72" s="81"/>
      <c r="H72" s="15">
        <f>(E10^2+(E39/2)^2)^0.5</f>
        <v>28.848743473503312</v>
      </c>
      <c r="I72" s="17" t="s">
        <v>167</v>
      </c>
    </row>
    <row r="73" spans="1:9">
      <c r="A73" s="110" t="s">
        <v>164</v>
      </c>
      <c r="B73" s="111"/>
      <c r="C73" s="17"/>
      <c r="D73" s="17" t="s">
        <v>158</v>
      </c>
      <c r="E73" s="34">
        <f>(E16+E17)*E9/100*E8/100/2</f>
        <v>1575</v>
      </c>
      <c r="F73" s="82" t="str">
        <f>IF(E73&lt;E74,"OK","N.G")</f>
        <v>OK</v>
      </c>
      <c r="H73" s="15">
        <f>0.05*(E38/10)^4</f>
        <v>0.10367999999999999</v>
      </c>
      <c r="I73" s="17" t="s">
        <v>32</v>
      </c>
    </row>
    <row r="74" spans="1:9" ht="18.75" thickBot="1">
      <c r="A74" s="107" t="s">
        <v>162</v>
      </c>
      <c r="B74" s="107"/>
      <c r="C74" s="49"/>
      <c r="D74" s="57" t="s">
        <v>158</v>
      </c>
      <c r="E74" s="58">
        <f>0.31*(E3)^0.5*E27*E11+E72</f>
        <v>2297.3362085455574</v>
      </c>
      <c r="F74" s="80"/>
      <c r="H74" s="15">
        <f>(H73/(PI()/4*(E38/10)^2))^0.5</f>
        <v>0.30277590264241921</v>
      </c>
      <c r="I74" s="17" t="s">
        <v>168</v>
      </c>
    </row>
    <row r="75" spans="1:9" ht="23.25" thickBot="1">
      <c r="A75" s="95" t="s">
        <v>173</v>
      </c>
      <c r="B75" s="95"/>
      <c r="C75" s="95"/>
      <c r="D75" s="95"/>
      <c r="E75" s="95"/>
      <c r="F75" s="95"/>
      <c r="H75" s="15">
        <f>H72/H74</f>
        <v>95.280843758474106</v>
      </c>
      <c r="I75" s="36" t="s">
        <v>169</v>
      </c>
    </row>
    <row r="76" spans="1:9">
      <c r="A76" s="106" t="s">
        <v>174</v>
      </c>
      <c r="B76" s="106"/>
      <c r="C76" s="53"/>
      <c r="D76" s="59" t="s">
        <v>158</v>
      </c>
      <c r="E76" s="60">
        <f>(E27*E28*E6+PI()/4*(E29/10)^2*E4)/(E8/E39)</f>
        <v>562.83185307179588</v>
      </c>
      <c r="F76" s="77"/>
      <c r="H76" s="15">
        <f>H75/131</f>
        <v>0.72733468517919164</v>
      </c>
      <c r="I76" s="43" t="s">
        <v>171</v>
      </c>
    </row>
    <row r="77" spans="1:9" ht="18.75" thickBot="1">
      <c r="A77" s="107" t="s">
        <v>175</v>
      </c>
      <c r="B77" s="107"/>
      <c r="C77" s="49"/>
      <c r="D77" s="50" t="s">
        <v>68</v>
      </c>
      <c r="E77" s="51">
        <f>E76/0.3/0.75/0.3/(E38/20)/2/4200</f>
        <v>1.6544146180828807</v>
      </c>
      <c r="F77" s="80"/>
    </row>
    <row r="78" spans="1:9" ht="23.25" thickBot="1">
      <c r="A78" s="95" t="s">
        <v>182</v>
      </c>
      <c r="B78" s="95"/>
      <c r="C78" s="95"/>
      <c r="D78" s="95"/>
      <c r="E78" s="95"/>
      <c r="F78" s="95"/>
    </row>
    <row r="79" spans="1:9">
      <c r="A79" s="116" t="s">
        <v>183</v>
      </c>
      <c r="B79" s="117"/>
      <c r="C79" s="53"/>
      <c r="D79" s="54" t="s">
        <v>181</v>
      </c>
      <c r="E79" s="55">
        <f>IF(E8&gt;700,IF(E16&gt;350,3,2),IF(E8&gt;400,IF(E16&gt;350,2,1),IF(E16&gt;350,1,0)))</f>
        <v>1</v>
      </c>
      <c r="F79" s="77"/>
    </row>
    <row r="80" spans="1:9">
      <c r="A80" s="110" t="s">
        <v>184</v>
      </c>
      <c r="B80" s="111"/>
      <c r="C80" s="21"/>
      <c r="D80" s="17" t="s">
        <v>99</v>
      </c>
      <c r="E80" s="35">
        <f>IF(E79&gt;0,IF(E16&lt;350,E30/2,E30),0)</f>
        <v>2.7513274122871834</v>
      </c>
      <c r="F80" s="78"/>
    </row>
    <row r="81" spans="1:6">
      <c r="A81" s="110" t="s">
        <v>185</v>
      </c>
      <c r="B81" s="111"/>
      <c r="C81" s="21"/>
      <c r="D81" s="17" t="s">
        <v>105</v>
      </c>
      <c r="E81" s="40">
        <v>14</v>
      </c>
      <c r="F81" s="79">
        <f>PI()/4*(E81/10)^2*E82</f>
        <v>3.0787608005179967</v>
      </c>
    </row>
    <row r="82" spans="1:6" ht="18.75" thickBot="1">
      <c r="A82" s="119" t="s">
        <v>69</v>
      </c>
      <c r="B82" s="120"/>
      <c r="C82" s="88"/>
      <c r="D82" s="89" t="s">
        <v>181</v>
      </c>
      <c r="E82" s="90">
        <v>2</v>
      </c>
      <c r="F82" s="91" t="str">
        <f>IF(E80&lt;F81,"OK","N.G")</f>
        <v>OK</v>
      </c>
    </row>
    <row r="83" spans="1:6" ht="15">
      <c r="A83" s="96"/>
      <c r="B83" s="96"/>
      <c r="C83" s="20"/>
    </row>
    <row r="84" spans="1:6" ht="15">
      <c r="A84" s="96"/>
      <c r="B84" s="96"/>
      <c r="C84" s="20"/>
    </row>
    <row r="85" spans="1:6" ht="15">
      <c r="A85" s="96"/>
      <c r="B85" s="96"/>
      <c r="C85" s="20"/>
    </row>
    <row r="86" spans="1:6" ht="15">
      <c r="A86" s="96"/>
      <c r="B86" s="96"/>
      <c r="C86" s="20"/>
    </row>
    <row r="87" spans="1:6" ht="15">
      <c r="A87" s="96"/>
      <c r="B87" s="96"/>
      <c r="C87" s="20"/>
    </row>
    <row r="88" spans="1:6" ht="15">
      <c r="A88" s="96"/>
      <c r="B88" s="96"/>
      <c r="C88" s="20"/>
    </row>
    <row r="89" spans="1:6" ht="15">
      <c r="A89" s="96"/>
      <c r="B89" s="96"/>
      <c r="C89" s="20"/>
    </row>
    <row r="90" spans="1:6" ht="15">
      <c r="A90" s="96"/>
      <c r="B90" s="96"/>
      <c r="C90" s="20"/>
    </row>
    <row r="91" spans="1:6" ht="15">
      <c r="A91" s="96"/>
      <c r="B91" s="96"/>
      <c r="C91" s="20"/>
    </row>
    <row r="92" spans="1:6" ht="15">
      <c r="A92" s="96"/>
      <c r="B92" s="96"/>
      <c r="C92" s="20"/>
    </row>
    <row r="93" spans="1:6" ht="15">
      <c r="A93" s="96"/>
      <c r="B93" s="96"/>
      <c r="C93" s="20"/>
    </row>
    <row r="94" spans="1:6" ht="15">
      <c r="A94" s="96"/>
      <c r="B94" s="96"/>
      <c r="C94" s="20"/>
    </row>
  </sheetData>
  <sheetProtection sheet="1" objects="1" scenarios="1"/>
  <mergeCells count="92">
    <mergeCell ref="A1:F1"/>
    <mergeCell ref="A72:B72"/>
    <mergeCell ref="H70:I70"/>
    <mergeCell ref="A75:F75"/>
    <mergeCell ref="A70:F70"/>
    <mergeCell ref="A38:B38"/>
    <mergeCell ref="A39:B39"/>
    <mergeCell ref="A71:B71"/>
    <mergeCell ref="A47:B47"/>
    <mergeCell ref="A53:B53"/>
    <mergeCell ref="A2:F2"/>
    <mergeCell ref="A6:B6"/>
    <mergeCell ref="A17:B17"/>
    <mergeCell ref="A25:B25"/>
    <mergeCell ref="A32:B32"/>
    <mergeCell ref="A34:B37"/>
    <mergeCell ref="A73:B73"/>
    <mergeCell ref="A60:B60"/>
    <mergeCell ref="A61:B61"/>
    <mergeCell ref="A63:B63"/>
    <mergeCell ref="A64:B64"/>
    <mergeCell ref="A65:B65"/>
    <mergeCell ref="A66:B66"/>
    <mergeCell ref="A92:B92"/>
    <mergeCell ref="A93:B93"/>
    <mergeCell ref="A76:B76"/>
    <mergeCell ref="A77:B77"/>
    <mergeCell ref="A79:B79"/>
    <mergeCell ref="A78:F78"/>
    <mergeCell ref="A94:B94"/>
    <mergeCell ref="A40:F40"/>
    <mergeCell ref="A45:F45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68:B68"/>
    <mergeCell ref="A69:B69"/>
    <mergeCell ref="A62:F62"/>
    <mergeCell ref="A67:F67"/>
    <mergeCell ref="A52:B52"/>
    <mergeCell ref="A54:B54"/>
    <mergeCell ref="A56:B56"/>
    <mergeCell ref="A55:B55"/>
    <mergeCell ref="A59:B59"/>
    <mergeCell ref="A58:F58"/>
    <mergeCell ref="A57:B57"/>
    <mergeCell ref="A51:F51"/>
    <mergeCell ref="A41:B41"/>
    <mergeCell ref="A42:B42"/>
    <mergeCell ref="A43:B43"/>
    <mergeCell ref="A49:B49"/>
    <mergeCell ref="A50:B50"/>
    <mergeCell ref="A46:B46"/>
    <mergeCell ref="A48:B48"/>
    <mergeCell ref="A44:B44"/>
    <mergeCell ref="A33:B33"/>
    <mergeCell ref="A14:B14"/>
    <mergeCell ref="A15:B15"/>
    <mergeCell ref="A16:B16"/>
    <mergeCell ref="A19:B19"/>
    <mergeCell ref="A30:B30"/>
    <mergeCell ref="A22:B22"/>
    <mergeCell ref="A21:B21"/>
    <mergeCell ref="A9:B9"/>
    <mergeCell ref="A12:B12"/>
    <mergeCell ref="A20:B20"/>
    <mergeCell ref="A18:F18"/>
    <mergeCell ref="A13:F13"/>
    <mergeCell ref="A31:B31"/>
    <mergeCell ref="A10:B10"/>
    <mergeCell ref="A11:B11"/>
    <mergeCell ref="A23:F23"/>
    <mergeCell ref="A26:F26"/>
    <mergeCell ref="A24:B24"/>
    <mergeCell ref="A27:B27"/>
    <mergeCell ref="A28:B28"/>
    <mergeCell ref="A29:B29"/>
    <mergeCell ref="A3:B3"/>
    <mergeCell ref="A4:B4"/>
    <mergeCell ref="A8:B8"/>
    <mergeCell ref="A5:B5"/>
    <mergeCell ref="A7:F7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نیروی محوری و برش ستون میانی</vt:lpstr>
      <vt:lpstr>نیروی محوری و برش  ستون کناری</vt:lpstr>
      <vt:lpstr>نیروی محوری و برش  ستون گوشه</vt:lpstr>
      <vt:lpstr>کرومیت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taha</dc:creator>
  <cp:lastModifiedBy>Taha</cp:lastModifiedBy>
  <dcterms:created xsi:type="dcterms:W3CDTF">2012-05-19T21:41:53Z</dcterms:created>
  <dcterms:modified xsi:type="dcterms:W3CDTF">2014-03-03T03:23:22Z</dcterms:modified>
</cp:coreProperties>
</file>