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A">Sheet1!$C$1</definedName>
    <definedName name="b">Sheet1!$C$2</definedName>
    <definedName name="Fu">Sheet1!$C$3</definedName>
    <definedName name="fv">Sheet1!$F$4</definedName>
    <definedName name="h">Sheet1!#REF!</definedName>
    <definedName name="I">Sheet1!$F$2</definedName>
    <definedName name="M">Sheet1!$C$5</definedName>
    <definedName name="n">Sheet1!$F$3</definedName>
    <definedName name="n0">Sheet1!$C$7</definedName>
    <definedName name="shear">Sheet1!$C$4</definedName>
    <definedName name="x">Sheet1!$F$1</definedName>
  </definedNames>
  <calcPr calcId="144525"/>
</workbook>
</file>

<file path=xl/calcChain.xml><?xml version="1.0" encoding="utf-8"?>
<calcChain xmlns="http://schemas.openxmlformats.org/spreadsheetml/2006/main">
  <c r="L15" i="1" l="1"/>
  <c r="L16" i="1"/>
  <c r="L17" i="1"/>
  <c r="L18" i="1"/>
  <c r="L19" i="1"/>
  <c r="L20" i="1"/>
  <c r="L21" i="1"/>
  <c r="L22" i="1"/>
  <c r="L23" i="1"/>
  <c r="L14" i="1"/>
  <c r="K23" i="1"/>
  <c r="K22" i="1"/>
  <c r="K21" i="1"/>
  <c r="K20" i="1"/>
  <c r="K19" i="1"/>
  <c r="K18" i="1"/>
  <c r="K17" i="1"/>
  <c r="K16" i="1"/>
  <c r="K15" i="1"/>
  <c r="K14" i="1"/>
  <c r="E22" i="1"/>
  <c r="E23" i="1"/>
  <c r="M14" i="1" l="1"/>
  <c r="D22" i="1"/>
  <c r="D23" i="1"/>
  <c r="D14" i="1"/>
  <c r="D15" i="1" s="1"/>
  <c r="D16" i="1" l="1"/>
  <c r="D17" i="1" s="1"/>
  <c r="D18" i="1" s="1"/>
  <c r="D19" i="1" s="1"/>
  <c r="D20" i="1" s="1"/>
  <c r="D21" i="1" s="1"/>
  <c r="F3" i="1"/>
  <c r="M15" i="1" l="1"/>
  <c r="F1" i="1" s="1"/>
  <c r="E21" i="1" s="1"/>
  <c r="F4" i="1"/>
  <c r="I11" i="1" s="1"/>
  <c r="F22" i="1"/>
  <c r="F23" i="1"/>
  <c r="E18" i="1" l="1"/>
  <c r="E16" i="1"/>
  <c r="E14" i="1"/>
  <c r="G24" i="1"/>
  <c r="E20" i="1"/>
  <c r="E19" i="1"/>
  <c r="E15" i="1"/>
  <c r="I24" i="1"/>
  <c r="E17" i="1"/>
  <c r="H11" i="1"/>
  <c r="F11" i="1"/>
  <c r="E11" i="1"/>
  <c r="G11" i="1"/>
  <c r="H23" i="1"/>
  <c r="H22" i="1"/>
  <c r="F14" i="1" l="1"/>
  <c r="H14" i="1"/>
  <c r="F15" i="1" l="1"/>
  <c r="H15" i="1"/>
  <c r="H16" i="1"/>
  <c r="F16" i="1"/>
  <c r="H17" i="1" l="1"/>
  <c r="F17" i="1"/>
  <c r="F18" i="1" l="1"/>
  <c r="H18" i="1"/>
  <c r="H19" i="1" l="1"/>
  <c r="F19" i="1"/>
  <c r="F21" i="1" l="1"/>
  <c r="H21" i="1"/>
  <c r="H20" i="1"/>
  <c r="F20" i="1"/>
  <c r="H24" i="1" l="1"/>
  <c r="F2" i="1" s="1"/>
  <c r="F24" i="1"/>
  <c r="C6" i="1" s="1"/>
  <c r="F6" i="1" l="1"/>
  <c r="F5" i="1"/>
</calcChain>
</file>

<file path=xl/sharedStrings.xml><?xml version="1.0" encoding="utf-8"?>
<sst xmlns="http://schemas.openxmlformats.org/spreadsheetml/2006/main" count="65" uniqueCount="43">
  <si>
    <t>A.D</t>
  </si>
  <si>
    <t>A.D^2</t>
  </si>
  <si>
    <t>D</t>
  </si>
  <si>
    <t>-</t>
  </si>
  <si>
    <t>شماره پیچ</t>
  </si>
  <si>
    <t>پیچ 1 و لبه  پایینی</t>
  </si>
  <si>
    <t>پیچ 1 و 2</t>
  </si>
  <si>
    <t>پیچ 2و 3</t>
  </si>
  <si>
    <t>پیچ 3و 4</t>
  </si>
  <si>
    <t>پیچ 4و 5</t>
  </si>
  <si>
    <t>پیچ 5و 6</t>
  </si>
  <si>
    <t>پیچ 6و 7</t>
  </si>
  <si>
    <t>پیچ 7و 8</t>
  </si>
  <si>
    <t>پیچ 8 و 9</t>
  </si>
  <si>
    <t>پیچ 9 و 10</t>
  </si>
  <si>
    <t>پیچ معمولی</t>
  </si>
  <si>
    <t>0.43Fu-1.8fv</t>
  </si>
  <si>
    <t>fv</t>
  </si>
  <si>
    <t>پیچ پر مقاومت</t>
  </si>
  <si>
    <t>sqrt((0.38Fu)^2-4.39fv)</t>
  </si>
  <si>
    <t>از دندانه می گذرد</t>
  </si>
  <si>
    <t>از دندانه نمی گذرد</t>
  </si>
  <si>
    <t>sqrt((0.38Fu)^2-2.15fv)</t>
  </si>
  <si>
    <t>قطعه دندانه شده</t>
  </si>
  <si>
    <t>0.43Fu-1.4fv</t>
  </si>
  <si>
    <t>b.X.(0.5X)</t>
  </si>
  <si>
    <t>1/3b.X^3</t>
  </si>
  <si>
    <t>M ( t . m)</t>
  </si>
  <si>
    <t>Fu ( kg/cm2 )</t>
  </si>
  <si>
    <t>shear ( kg )</t>
  </si>
  <si>
    <t>هر پیچ  A(cm)</t>
  </si>
  <si>
    <t>b (cm)</t>
  </si>
  <si>
    <t>I (cm^4)</t>
  </si>
  <si>
    <t>تنش فشاری ورق</t>
  </si>
  <si>
    <t>تنش کششی پیچ</t>
  </si>
  <si>
    <t>ردیف</t>
  </si>
  <si>
    <t>X</t>
  </si>
  <si>
    <t>تعداد پیچ</t>
  </si>
  <si>
    <t>فاصله نسبی</t>
  </si>
  <si>
    <t>فاصله هر پیچ تا لبه پاینی</t>
  </si>
  <si>
    <t xml:space="preserve">حدس اولیه محل X </t>
  </si>
  <si>
    <t>قبل از پیچ شماره ؟</t>
  </si>
  <si>
    <t>1- خانه سفید فقط قابل پر کردن است
2-محل تار خنثی باید حدس زده شود، اگر درست بود سبز می شود
3- داده ها در رنج درست داده شوند تا نتایج درست شوند
4- فاصله پیچ ها نسبت به هم داده شود
5 - تنش کششی پیچ و تنش فشاری با جدول داده شده تنش مجاز کنترل شود.
6 - تنش برشی و ممان درست وارد شوند تا تنش مجاز درست محاسبه شود.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</si>
</sst>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6" x14ac:knownFonts="1">
    <font>
      <sz val="11"/>
      <color theme="1"/>
      <name val="Arial"/>
      <family val="2"/>
      <scheme val="minor"/>
    </font>
    <font>
      <sz val="14"/>
      <color theme="1"/>
      <name val="B Lotus"/>
      <charset val="178"/>
    </font>
    <font>
      <b/>
      <sz val="14"/>
      <color theme="1"/>
      <name val="B Lotus"/>
      <charset val="178"/>
    </font>
    <font>
      <sz val="14"/>
      <color rgb="FFFFC000"/>
      <name val="B Lotus"/>
      <charset val="178"/>
    </font>
    <font>
      <sz val="12"/>
      <color theme="1"/>
      <name val="B Lotus"/>
      <charset val="178"/>
    </font>
    <font>
      <b/>
      <sz val="14"/>
      <color rgb="FF0070C0"/>
      <name val="B Lotus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3" borderId="2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horizontal="center" vertical="center"/>
      <protection locked="0"/>
    </xf>
    <xf numFmtId="164" fontId="1" fillId="3" borderId="1" xfId="0" applyNumberFormat="1" applyFont="1" applyFill="1" applyBorder="1" applyAlignment="1" applyProtection="1">
      <alignment horizontal="center" vertical="center"/>
    </xf>
    <xf numFmtId="165" fontId="1" fillId="3" borderId="1" xfId="0" applyNumberFormat="1" applyFont="1" applyFill="1" applyBorder="1" applyAlignment="1" applyProtection="1">
      <alignment horizontal="center" vertical="center"/>
    </xf>
    <xf numFmtId="165" fontId="1" fillId="2" borderId="1" xfId="0" applyNumberFormat="1" applyFont="1" applyFill="1" applyBorder="1" applyAlignment="1" applyProtection="1">
      <alignment horizontal="center" vertical="center"/>
      <protection locked="0"/>
    </xf>
    <xf numFmtId="1" fontId="2" fillId="3" borderId="1" xfId="0" applyNumberFormat="1" applyFont="1" applyFill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 vertical="center"/>
      <protection locked="0"/>
    </xf>
    <xf numFmtId="165" fontId="2" fillId="3" borderId="1" xfId="0" applyNumberFormat="1" applyFont="1" applyFill="1" applyBorder="1" applyAlignment="1" applyProtection="1">
      <alignment horizontal="center" vertical="center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165" fontId="1" fillId="3" borderId="2" xfId="0" applyNumberFormat="1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165" fontId="1" fillId="2" borderId="0" xfId="0" applyNumberFormat="1" applyFont="1" applyFill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165" fontId="4" fillId="3" borderId="1" xfId="0" applyNumberFormat="1" applyFont="1" applyFill="1" applyBorder="1" applyAlignment="1" applyProtection="1">
      <alignment horizontal="center" vertical="center"/>
    </xf>
    <xf numFmtId="1" fontId="1" fillId="3" borderId="1" xfId="0" applyNumberFormat="1" applyFont="1" applyFill="1" applyBorder="1" applyAlignment="1" applyProtection="1">
      <alignment horizontal="center" vertical="center"/>
    </xf>
    <xf numFmtId="165" fontId="1" fillId="2" borderId="4" xfId="0" applyNumberFormat="1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/>
    </xf>
    <xf numFmtId="0" fontId="1" fillId="2" borderId="7" xfId="0" applyFont="1" applyFill="1" applyBorder="1" applyAlignment="1" applyProtection="1">
      <alignment vertical="center" wrapText="1"/>
    </xf>
    <xf numFmtId="0" fontId="1" fillId="2" borderId="8" xfId="0" applyFont="1" applyFill="1" applyBorder="1" applyAlignment="1" applyProtection="1">
      <alignment horizontal="center" vertical="center"/>
    </xf>
    <xf numFmtId="1" fontId="1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left" vertical="center" wrapText="1"/>
    </xf>
    <xf numFmtId="0" fontId="5" fillId="2" borderId="10" xfId="0" applyFont="1" applyFill="1" applyBorder="1" applyAlignment="1" applyProtection="1">
      <alignment horizontal="left" vertical="center" wrapText="1"/>
    </xf>
    <xf numFmtId="0" fontId="5" fillId="2" borderId="11" xfId="0" applyFont="1" applyFill="1" applyBorder="1" applyAlignment="1" applyProtection="1">
      <alignment horizontal="left" vertical="center" wrapText="1"/>
    </xf>
    <xf numFmtId="0" fontId="5" fillId="2" borderId="12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5" fillId="2" borderId="13" xfId="0" applyFont="1" applyFill="1" applyBorder="1" applyAlignment="1" applyProtection="1">
      <alignment horizontal="left" vertical="center" wrapText="1"/>
    </xf>
    <xf numFmtId="0" fontId="5" fillId="2" borderId="14" xfId="0" applyFont="1" applyFill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left" vertical="center" wrapText="1"/>
    </xf>
    <xf numFmtId="0" fontId="5" fillId="2" borderId="16" xfId="0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2"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zoomScale="90" zoomScaleNormal="90" workbookViewId="0">
      <selection activeCell="N10" sqref="N10"/>
    </sheetView>
  </sheetViews>
  <sheetFormatPr defaultRowHeight="24.75" x14ac:dyDescent="0.2"/>
  <cols>
    <col min="1" max="1" width="6.5" style="3" bestFit="1" customWidth="1"/>
    <col min="2" max="2" width="15.25" style="3" bestFit="1" customWidth="1"/>
    <col min="3" max="3" width="9.5" style="3" bestFit="1" customWidth="1"/>
    <col min="4" max="4" width="16.375" style="3" bestFit="1" customWidth="1"/>
    <col min="5" max="5" width="13.75" style="3" bestFit="1" customWidth="1"/>
    <col min="6" max="7" width="19.875" style="3" bestFit="1" customWidth="1"/>
    <col min="8" max="8" width="13" style="3" bestFit="1" customWidth="1"/>
    <col min="9" max="9" width="12.125" style="3" bestFit="1" customWidth="1"/>
    <col min="10" max="10" width="4.875" style="3" customWidth="1"/>
    <col min="11" max="11" width="3.875" style="3" customWidth="1"/>
    <col min="12" max="12" width="5" style="3" customWidth="1"/>
    <col min="13" max="13" width="14.75" style="3" bestFit="1" customWidth="1"/>
    <col min="14" max="14" width="14" style="3" bestFit="1" customWidth="1"/>
    <col min="15" max="16384" width="9" style="3"/>
  </cols>
  <sheetData>
    <row r="1" spans="1:14" ht="24.75" customHeight="1" x14ac:dyDescent="0.2">
      <c r="B1" s="4" t="s">
        <v>30</v>
      </c>
      <c r="C1" s="5">
        <v>3.1419999999999999</v>
      </c>
      <c r="E1" s="4" t="s">
        <v>36</v>
      </c>
      <c r="F1" s="6">
        <f>(-M14+SQRT(M14^2-2*M15*b))/b</f>
        <v>10.379018647757384</v>
      </c>
      <c r="H1" s="28" t="s">
        <v>42</v>
      </c>
      <c r="I1" s="29"/>
      <c r="J1" s="29"/>
      <c r="K1" s="29"/>
      <c r="L1" s="29"/>
      <c r="M1" s="29"/>
      <c r="N1" s="30"/>
    </row>
    <row r="2" spans="1:14" ht="27" x14ac:dyDescent="0.2">
      <c r="B2" s="7" t="s">
        <v>31</v>
      </c>
      <c r="C2" s="8">
        <v>20</v>
      </c>
      <c r="E2" s="7" t="s">
        <v>32</v>
      </c>
      <c r="F2" s="9">
        <f>I24+H24</f>
        <v>47940.861253372037</v>
      </c>
      <c r="G2" s="25"/>
      <c r="H2" s="31"/>
      <c r="I2" s="32"/>
      <c r="J2" s="32"/>
      <c r="K2" s="32"/>
      <c r="L2" s="32"/>
      <c r="M2" s="32"/>
      <c r="N2" s="33"/>
    </row>
    <row r="3" spans="1:14" ht="27" x14ac:dyDescent="0.2">
      <c r="B3" s="7" t="s">
        <v>28</v>
      </c>
      <c r="C3" s="10">
        <v>8000</v>
      </c>
      <c r="E3" s="7" t="s">
        <v>37</v>
      </c>
      <c r="F3" s="11">
        <f>IF(C14=0,0,1)+IF(C15=0,0,1)+IF(C16=0,0,1)+IF(C17=0,0,1)+IF(C18=0,0,1)+IF(C19=0,0,1)+IF(C20=0,0,1)+IF(C21=0,0,1)+IF(C22=0,0,1)+IF(C23=0,0,1)</f>
        <v>7</v>
      </c>
      <c r="G3" s="25"/>
      <c r="H3" s="31"/>
      <c r="I3" s="32"/>
      <c r="J3" s="32"/>
      <c r="K3" s="32"/>
      <c r="L3" s="32"/>
      <c r="M3" s="32"/>
      <c r="N3" s="33"/>
    </row>
    <row r="4" spans="1:14" ht="27" x14ac:dyDescent="0.2">
      <c r="B4" s="7" t="s">
        <v>29</v>
      </c>
      <c r="C4" s="10">
        <v>7000</v>
      </c>
      <c r="E4" s="7" t="s">
        <v>17</v>
      </c>
      <c r="F4" s="9">
        <f>shear/n/A</f>
        <v>318.26861871419482</v>
      </c>
      <c r="G4" s="25"/>
      <c r="H4" s="31"/>
      <c r="I4" s="32"/>
      <c r="J4" s="32"/>
      <c r="K4" s="32"/>
      <c r="L4" s="32"/>
      <c r="M4" s="32"/>
      <c r="N4" s="33"/>
    </row>
    <row r="5" spans="1:14" ht="27" x14ac:dyDescent="0.2">
      <c r="B5" s="7" t="s">
        <v>27</v>
      </c>
      <c r="C5" s="12">
        <v>16.600000000000001</v>
      </c>
      <c r="E5" s="4" t="s">
        <v>33</v>
      </c>
      <c r="F5" s="9">
        <f>100000*M*x/I</f>
        <v>359.38384302733829</v>
      </c>
      <c r="G5" s="25"/>
      <c r="H5" s="31"/>
      <c r="I5" s="32"/>
      <c r="J5" s="32"/>
      <c r="K5" s="32"/>
      <c r="L5" s="32"/>
      <c r="M5" s="32"/>
      <c r="N5" s="33"/>
    </row>
    <row r="6" spans="1:14" ht="42.75" customHeight="1" thickBot="1" x14ac:dyDescent="0.25">
      <c r="B6" s="13" t="s">
        <v>40</v>
      </c>
      <c r="C6" s="26" t="str">
        <f>IF(ABS((G24-F24)/G24)&lt;0.0001,"OK","NOT OK")</f>
        <v>OK</v>
      </c>
      <c r="E6" s="4" t="s">
        <v>34</v>
      </c>
      <c r="F6" s="9">
        <f>100000*M*(LOOKUP(n,A14:A23,D14:D23)-x)/I</f>
        <v>1846.2920091677952</v>
      </c>
      <c r="G6" s="25"/>
      <c r="H6" s="34"/>
      <c r="I6" s="35"/>
      <c r="J6" s="35"/>
      <c r="K6" s="35"/>
      <c r="L6" s="35"/>
      <c r="M6" s="35"/>
      <c r="N6" s="36"/>
    </row>
    <row r="7" spans="1:14" x14ac:dyDescent="0.2">
      <c r="B7" s="14" t="s">
        <v>41</v>
      </c>
      <c r="C7" s="27">
        <v>2</v>
      </c>
    </row>
    <row r="8" spans="1:14" x14ac:dyDescent="0.2">
      <c r="E8" s="1" t="s">
        <v>15</v>
      </c>
      <c r="F8" s="15" t="s">
        <v>18</v>
      </c>
      <c r="G8" s="16"/>
      <c r="H8" s="15" t="s">
        <v>23</v>
      </c>
      <c r="I8" s="16"/>
    </row>
    <row r="9" spans="1:14" x14ac:dyDescent="0.2">
      <c r="D9" s="17"/>
      <c r="E9" s="2"/>
      <c r="F9" s="18" t="s">
        <v>21</v>
      </c>
      <c r="G9" s="18" t="s">
        <v>20</v>
      </c>
      <c r="H9" s="18" t="s">
        <v>21</v>
      </c>
      <c r="I9" s="18" t="s">
        <v>20</v>
      </c>
    </row>
    <row r="10" spans="1:14" x14ac:dyDescent="0.2">
      <c r="E10" s="19" t="s">
        <v>16</v>
      </c>
      <c r="F10" s="19" t="s">
        <v>22</v>
      </c>
      <c r="G10" s="19" t="s">
        <v>19</v>
      </c>
      <c r="H10" s="19" t="s">
        <v>24</v>
      </c>
      <c r="I10" s="19" t="s">
        <v>16</v>
      </c>
    </row>
    <row r="11" spans="1:14" x14ac:dyDescent="0.2">
      <c r="E11" s="20">
        <f>MIN((0.43*Fu-1.8*fv),0.33*Fu)</f>
        <v>2640</v>
      </c>
      <c r="F11" s="20">
        <f>MIN(SQRT((0.38*Fu)^2-2.15*fv),0.38*Fu)</f>
        <v>3039.8874522701926</v>
      </c>
      <c r="G11" s="20">
        <f>MIN(SQRT((0.38*Fu)^2-4.39*fv),0.38*Fu)</f>
        <v>3039.7701888076745</v>
      </c>
      <c r="H11" s="20">
        <f>MIN((0.43*Fu-1.4*fv),0.33*Fu)</f>
        <v>2640</v>
      </c>
      <c r="I11" s="20">
        <f>MIN((0.43*Fu-1.8*fv),0.33*Fu)</f>
        <v>2640</v>
      </c>
    </row>
    <row r="12" spans="1:14" ht="10.5" customHeight="1" x14ac:dyDescent="0.2">
      <c r="B12" s="21"/>
      <c r="C12" s="21"/>
      <c r="D12" s="21"/>
      <c r="E12" s="21"/>
      <c r="F12" s="21"/>
      <c r="G12" s="22"/>
    </row>
    <row r="13" spans="1:14" ht="24" customHeight="1" x14ac:dyDescent="0.2">
      <c r="A13" s="4" t="s">
        <v>35</v>
      </c>
      <c r="B13" s="4" t="s">
        <v>4</v>
      </c>
      <c r="C13" s="4" t="s">
        <v>38</v>
      </c>
      <c r="D13" s="23" t="s">
        <v>39</v>
      </c>
      <c r="E13" s="4" t="s">
        <v>2</v>
      </c>
      <c r="F13" s="4" t="s">
        <v>0</v>
      </c>
      <c r="G13" s="4" t="s">
        <v>25</v>
      </c>
      <c r="H13" s="4" t="s">
        <v>1</v>
      </c>
      <c r="I13" s="4" t="s">
        <v>26</v>
      </c>
    </row>
    <row r="14" spans="1:14" x14ac:dyDescent="0.2">
      <c r="A14" s="4">
        <v>1</v>
      </c>
      <c r="B14" s="4" t="s">
        <v>5</v>
      </c>
      <c r="C14" s="8">
        <v>5</v>
      </c>
      <c r="D14" s="7">
        <f>IF(C14=0,0,C14)</f>
        <v>5</v>
      </c>
      <c r="E14" s="7">
        <f>IF(C14=0,0,IF(x&lt;D14,(D14-x),0))</f>
        <v>0</v>
      </c>
      <c r="F14" s="7">
        <f>A*E14</f>
        <v>0</v>
      </c>
      <c r="G14" s="7" t="s">
        <v>3</v>
      </c>
      <c r="H14" s="7">
        <f>$C$1*E14^2</f>
        <v>0</v>
      </c>
      <c r="I14" s="7" t="s">
        <v>3</v>
      </c>
      <c r="K14" s="24">
        <f>IF(n0=1,1,0)</f>
        <v>0</v>
      </c>
      <c r="L14" s="24">
        <f>IF(C14=0,0,1)</f>
        <v>1</v>
      </c>
      <c r="M14" s="24">
        <f>2*A*(K14*L14+K15*L15+K16*L16+K17*L17+K18*L18+K19*L19+K20*L20+K21*L21+K22*L22+K23*L23)</f>
        <v>37.704000000000001</v>
      </c>
    </row>
    <row r="15" spans="1:14" x14ac:dyDescent="0.2">
      <c r="A15" s="4">
        <v>2</v>
      </c>
      <c r="B15" s="4" t="s">
        <v>6</v>
      </c>
      <c r="C15" s="8">
        <v>11</v>
      </c>
      <c r="D15" s="7">
        <f>IF(C15=0,0,D14+C15)</f>
        <v>16</v>
      </c>
      <c r="E15" s="7">
        <f>IF(C15=0,0,IF(x&lt;D15,(D15-x),0))</f>
        <v>5.620981352242616</v>
      </c>
      <c r="F15" s="7">
        <f t="shared" ref="F15:F20" si="0">A*E15</f>
        <v>17.661123408746299</v>
      </c>
      <c r="G15" s="7" t="s">
        <v>3</v>
      </c>
      <c r="H15" s="7">
        <f t="shared" ref="H15:H20" si="1">A*E15^2</f>
        <v>99.272845340218481</v>
      </c>
      <c r="I15" s="7" t="s">
        <v>3</v>
      </c>
      <c r="K15" s="24">
        <f>IF(n0&lt;=2,1,0)</f>
        <v>1</v>
      </c>
      <c r="L15" s="24">
        <f t="shared" ref="L15:L23" si="2">IF(C15=0,0,1)</f>
        <v>1</v>
      </c>
      <c r="M15" s="24">
        <f>-2*A*(K14*D14+K15*D15+K16*D16+K17*D17+K18*D18+K19*D19+K20*D20+K21*D21+K22*D22+K23*D23)</f>
        <v>-1468.5708</v>
      </c>
    </row>
    <row r="16" spans="1:14" x14ac:dyDescent="0.2">
      <c r="A16" s="4">
        <v>3</v>
      </c>
      <c r="B16" s="4" t="s">
        <v>7</v>
      </c>
      <c r="C16" s="8">
        <v>9</v>
      </c>
      <c r="D16" s="7">
        <f>IF(C16=0,0,D15+C16)</f>
        <v>25</v>
      </c>
      <c r="E16" s="7">
        <f>IF(C16=0,0,IF(x&lt;D16,(D16-x),0))</f>
        <v>14.620981352242616</v>
      </c>
      <c r="F16" s="7">
        <f t="shared" si="0"/>
        <v>45.939123408746298</v>
      </c>
      <c r="G16" s="7" t="s">
        <v>3</v>
      </c>
      <c r="H16" s="7">
        <f t="shared" si="1"/>
        <v>671.6750666976518</v>
      </c>
      <c r="I16" s="7" t="s">
        <v>3</v>
      </c>
      <c r="K16" s="24">
        <f>IF(n0&lt;=3,1,0)</f>
        <v>1</v>
      </c>
      <c r="L16" s="24">
        <f t="shared" si="2"/>
        <v>1</v>
      </c>
    </row>
    <row r="17" spans="1:12" x14ac:dyDescent="0.2">
      <c r="A17" s="4">
        <v>4</v>
      </c>
      <c r="B17" s="4" t="s">
        <v>8</v>
      </c>
      <c r="C17" s="8">
        <v>9</v>
      </c>
      <c r="D17" s="7">
        <f>IF(C17=0,0,D16+C17)</f>
        <v>34</v>
      </c>
      <c r="E17" s="7">
        <f>IF(C17=0,0,IF(x&lt;D17,(D17-x),0))</f>
        <v>23.620981352242616</v>
      </c>
      <c r="F17" s="7">
        <f t="shared" si="0"/>
        <v>74.217123408746303</v>
      </c>
      <c r="G17" s="7" t="s">
        <v>3</v>
      </c>
      <c r="H17" s="7">
        <f t="shared" si="1"/>
        <v>1753.081288055085</v>
      </c>
      <c r="I17" s="7" t="s">
        <v>3</v>
      </c>
      <c r="K17" s="24">
        <f>IF(n0&lt;=4,1,0)</f>
        <v>1</v>
      </c>
      <c r="L17" s="24">
        <f t="shared" si="2"/>
        <v>1</v>
      </c>
    </row>
    <row r="18" spans="1:12" x14ac:dyDescent="0.2">
      <c r="A18" s="4">
        <v>5</v>
      </c>
      <c r="B18" s="4" t="s">
        <v>9</v>
      </c>
      <c r="C18" s="8">
        <v>9</v>
      </c>
      <c r="D18" s="7">
        <f>IF(C18=0,0,D17+C18)</f>
        <v>43</v>
      </c>
      <c r="E18" s="7">
        <f>IF(C18=0,0,IF(x&lt;D18,(D18-x),0))</f>
        <v>32.620981352242616</v>
      </c>
      <c r="F18" s="7">
        <f t="shared" si="0"/>
        <v>102.4951234087463</v>
      </c>
      <c r="G18" s="7" t="s">
        <v>3</v>
      </c>
      <c r="H18" s="7">
        <f t="shared" si="1"/>
        <v>3343.4915094125186</v>
      </c>
      <c r="I18" s="7" t="s">
        <v>3</v>
      </c>
      <c r="K18" s="24">
        <f>IF(n0&lt;=5,1,0)</f>
        <v>1</v>
      </c>
      <c r="L18" s="24">
        <f t="shared" si="2"/>
        <v>1</v>
      </c>
    </row>
    <row r="19" spans="1:12" x14ac:dyDescent="0.2">
      <c r="A19" s="4">
        <v>6</v>
      </c>
      <c r="B19" s="4" t="s">
        <v>10</v>
      </c>
      <c r="C19" s="8">
        <v>9</v>
      </c>
      <c r="D19" s="7">
        <f>IF(C19=0,0,D18+C19)</f>
        <v>52</v>
      </c>
      <c r="E19" s="7">
        <f>IF(C19=0,0,IF(x&lt;D19,(D19-x),0))</f>
        <v>41.620981352242616</v>
      </c>
      <c r="F19" s="7">
        <f t="shared" si="0"/>
        <v>130.7731234087463</v>
      </c>
      <c r="G19" s="7" t="s">
        <v>3</v>
      </c>
      <c r="H19" s="7">
        <f t="shared" si="1"/>
        <v>5442.9057307699513</v>
      </c>
      <c r="I19" s="7" t="s">
        <v>3</v>
      </c>
      <c r="K19" s="24">
        <f>IF(n0&lt;=6,1,0)</f>
        <v>1</v>
      </c>
      <c r="L19" s="24">
        <f t="shared" si="2"/>
        <v>1</v>
      </c>
    </row>
    <row r="20" spans="1:12" x14ac:dyDescent="0.2">
      <c r="A20" s="4">
        <v>7</v>
      </c>
      <c r="B20" s="4" t="s">
        <v>11</v>
      </c>
      <c r="C20" s="8">
        <v>11.7</v>
      </c>
      <c r="D20" s="7">
        <f>IF(C20=0,0,D19+C20)</f>
        <v>63.7</v>
      </c>
      <c r="E20" s="7">
        <f>IF(C20=0,0,IF(x&lt;D20,(D20-x),0))</f>
        <v>53.320981352242619</v>
      </c>
      <c r="F20" s="7">
        <f t="shared" si="0"/>
        <v>167.53452340874631</v>
      </c>
      <c r="G20" s="7" t="s">
        <v>3</v>
      </c>
      <c r="H20" s="7">
        <f t="shared" si="1"/>
        <v>8933.1051985346166</v>
      </c>
      <c r="I20" s="7" t="s">
        <v>3</v>
      </c>
      <c r="K20" s="24">
        <f>IF(n0&lt;=7,1,0)</f>
        <v>1</v>
      </c>
      <c r="L20" s="24">
        <f t="shared" si="2"/>
        <v>1</v>
      </c>
    </row>
    <row r="21" spans="1:12" x14ac:dyDescent="0.2">
      <c r="A21" s="4">
        <v>8</v>
      </c>
      <c r="B21" s="4" t="s">
        <v>12</v>
      </c>
      <c r="C21" s="8">
        <v>0</v>
      </c>
      <c r="D21" s="7">
        <f>IF(C21=0,0,D20+C21)</f>
        <v>0</v>
      </c>
      <c r="E21" s="7">
        <f>IF(C21=0,0,IF(x&lt;D21,(D21-x),0))</f>
        <v>0</v>
      </c>
      <c r="F21" s="7">
        <f>$C$1*E21</f>
        <v>0</v>
      </c>
      <c r="G21" s="7" t="s">
        <v>3</v>
      </c>
      <c r="H21" s="7">
        <f>$C$1*E21^2</f>
        <v>0</v>
      </c>
      <c r="I21" s="7" t="s">
        <v>3</v>
      </c>
      <c r="K21" s="24">
        <f>IF(n0&lt;=8,1,0)</f>
        <v>1</v>
      </c>
      <c r="L21" s="24">
        <f t="shared" si="2"/>
        <v>0</v>
      </c>
    </row>
    <row r="22" spans="1:12" x14ac:dyDescent="0.2">
      <c r="A22" s="4">
        <v>9</v>
      </c>
      <c r="B22" s="4" t="s">
        <v>13</v>
      </c>
      <c r="C22" s="8">
        <v>0</v>
      </c>
      <c r="D22" s="7">
        <f>IF(C22=0,0,D21+C22)</f>
        <v>0</v>
      </c>
      <c r="E22" s="7">
        <f>IF(C22=0,0,IF(x&lt;D22,(D22-x),0))</f>
        <v>0</v>
      </c>
      <c r="F22" s="7">
        <f>$C$1*E22</f>
        <v>0</v>
      </c>
      <c r="G22" s="7" t="s">
        <v>3</v>
      </c>
      <c r="H22" s="7">
        <f>$C$1*E22^2</f>
        <v>0</v>
      </c>
      <c r="I22" s="7" t="s">
        <v>3</v>
      </c>
      <c r="K22" s="24">
        <f>IF(n0&lt;=9,1,0)</f>
        <v>1</v>
      </c>
      <c r="L22" s="24">
        <f t="shared" si="2"/>
        <v>0</v>
      </c>
    </row>
    <row r="23" spans="1:12" x14ac:dyDescent="0.2">
      <c r="A23" s="4">
        <v>10</v>
      </c>
      <c r="B23" s="4" t="s">
        <v>14</v>
      </c>
      <c r="C23" s="8">
        <v>0</v>
      </c>
      <c r="D23" s="7">
        <f>IF(C23=0,0,D22+C23)</f>
        <v>0</v>
      </c>
      <c r="E23" s="7">
        <f>IF(C23=0,0,IF(x&lt;D23,(D23-x),0))</f>
        <v>0</v>
      </c>
      <c r="F23" s="7">
        <f>$C$1*E23</f>
        <v>0</v>
      </c>
      <c r="G23" s="7" t="s">
        <v>3</v>
      </c>
      <c r="H23" s="7">
        <f>$C$1*E23^2</f>
        <v>0</v>
      </c>
      <c r="I23" s="7" t="s">
        <v>3</v>
      </c>
      <c r="K23" s="24">
        <f>IF(n0&lt;=10,1,0)</f>
        <v>1</v>
      </c>
      <c r="L23" s="24">
        <f t="shared" si="2"/>
        <v>0</v>
      </c>
    </row>
    <row r="24" spans="1:12" x14ac:dyDescent="0.2">
      <c r="A24" s="4"/>
      <c r="B24" s="4"/>
      <c r="C24" s="7"/>
      <c r="D24" s="7"/>
      <c r="E24" s="7"/>
      <c r="F24" s="7">
        <f>SUM(F14:F23)*2</f>
        <v>1077.2402809049556</v>
      </c>
      <c r="G24" s="7">
        <f>b*x^2*0.5</f>
        <v>1077.2402809049552</v>
      </c>
      <c r="H24" s="7">
        <f>SUM(H14:H23)*2</f>
        <v>40487.06327762008</v>
      </c>
      <c r="I24" s="7">
        <f>1/3*C2*x^3</f>
        <v>7453.7979757519552</v>
      </c>
    </row>
    <row r="25" spans="1:12" x14ac:dyDescent="0.2">
      <c r="D25" s="17"/>
      <c r="E25" s="17"/>
    </row>
  </sheetData>
  <sheetProtection sheet="1" objects="1" scenarios="1"/>
  <mergeCells count="4">
    <mergeCell ref="H1:N6"/>
    <mergeCell ref="H8:I8"/>
    <mergeCell ref="F8:G8"/>
    <mergeCell ref="E8:E9"/>
  </mergeCells>
  <conditionalFormatting sqref="C6">
    <cfRule type="cellIs" dxfId="1" priority="1" operator="notEqual">
      <formula>"OK"</formula>
    </cfRule>
    <cfRule type="cellIs" dxfId="0" priority="2" operator="equal">
      <formula>"OK"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Sheet1</vt:lpstr>
      <vt:lpstr>Sheet2</vt:lpstr>
      <vt:lpstr>Sheet3</vt:lpstr>
      <vt:lpstr>A</vt:lpstr>
      <vt:lpstr>b</vt:lpstr>
      <vt:lpstr>Fu</vt:lpstr>
      <vt:lpstr>fv</vt:lpstr>
      <vt:lpstr>I</vt:lpstr>
      <vt:lpstr>M</vt:lpstr>
      <vt:lpstr>n</vt:lpstr>
      <vt:lpstr>n0</vt:lpstr>
      <vt:lpstr>shear</vt:lpstr>
      <vt:lpstr>x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2014-02-15T10:29:33Z</dcterms:modified>
</cp:coreProperties>
</file>