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4" r:id="rId2"/>
    <sheet name="Sheet3" sheetId="5" r:id="rId3"/>
  </sheets>
  <definedNames>
    <definedName name="b">Sheet1!$D$9</definedName>
    <definedName name="d">Sheet1!$D$10</definedName>
    <definedName name="d΄">Sheet1!$D$11</definedName>
    <definedName name="fc">Sheet1!$G$9</definedName>
    <definedName name="fy">Sheet1!$G$10</definedName>
    <definedName name="g">Sheet1!$G$9</definedName>
  </definedNames>
  <calcPr calcId="124519"/>
</workbook>
</file>

<file path=xl/calcChain.xml><?xml version="1.0" encoding="utf-8"?>
<calcChain xmlns="http://schemas.openxmlformats.org/spreadsheetml/2006/main">
  <c r="F70" i="1"/>
  <c r="G60"/>
  <c r="D153"/>
  <c r="E146"/>
  <c r="C133"/>
  <c r="E133" s="1"/>
  <c r="C146"/>
  <c r="F147" s="1"/>
  <c r="H139"/>
  <c r="C141" s="1"/>
  <c r="F141" s="1"/>
  <c r="E114"/>
  <c r="G85"/>
  <c r="J128"/>
  <c r="D110"/>
  <c r="E124"/>
  <c r="I153" l="1"/>
  <c r="G35" l="1"/>
  <c r="G37"/>
  <c r="G42"/>
  <c r="G46"/>
  <c r="G48"/>
  <c r="I110"/>
  <c r="D112" s="1"/>
  <c r="B93"/>
  <c r="G95" s="1"/>
  <c r="U83"/>
  <c r="D83"/>
  <c r="I83" s="1"/>
  <c r="D85" s="1"/>
  <c r="G112" l="1"/>
  <c r="D150"/>
  <c r="G150" s="1"/>
  <c r="H112"/>
  <c r="E98"/>
  <c r="H85"/>
  <c r="G153" l="1"/>
  <c r="J153"/>
  <c r="E101"/>
  <c r="G104" s="1"/>
  <c r="E13"/>
  <c r="D15" s="1"/>
  <c r="G31" s="1"/>
  <c r="D122" l="1"/>
  <c r="D126" s="1"/>
  <c r="G40"/>
  <c r="G53"/>
  <c r="G36"/>
  <c r="G38"/>
  <c r="G41"/>
  <c r="G43"/>
  <c r="G47"/>
  <c r="G49"/>
  <c r="G51"/>
  <c r="G52"/>
  <c r="G32"/>
  <c r="E91" s="1"/>
  <c r="G33"/>
  <c r="E67" s="1"/>
  <c r="U94" l="1"/>
  <c r="U95" s="1"/>
  <c r="G107" s="1"/>
  <c r="G110" s="1"/>
  <c r="I104"/>
  <c r="I105" s="1"/>
  <c r="U87"/>
  <c r="U88" s="1"/>
  <c r="G80" s="1"/>
  <c r="G83" s="1"/>
  <c r="D73"/>
  <c r="D76" s="1"/>
  <c r="G75" s="1"/>
  <c r="F128"/>
  <c r="I130" s="1"/>
</calcChain>
</file>

<file path=xl/sharedStrings.xml><?xml version="1.0" encoding="utf-8"?>
<sst xmlns="http://schemas.openxmlformats.org/spreadsheetml/2006/main" count="92" uniqueCount="42">
  <si>
    <t>طراحی سقف تیرچه و بلوک</t>
  </si>
  <si>
    <t>D.L=</t>
  </si>
  <si>
    <t>L.L=</t>
  </si>
  <si>
    <t>F.c=</t>
  </si>
  <si>
    <t>F.y=</t>
  </si>
  <si>
    <t>Mpa</t>
  </si>
  <si>
    <t>m.m</t>
  </si>
  <si>
    <t>dN/m2</t>
  </si>
  <si>
    <t>N/m.m2</t>
  </si>
  <si>
    <t>N/m.m</t>
  </si>
  <si>
    <t>3دهانه و بیشتر</t>
  </si>
  <si>
    <t>2دهانه</t>
  </si>
  <si>
    <t>تعداد دهانه</t>
  </si>
  <si>
    <t>MA=</t>
  </si>
  <si>
    <t>MB=</t>
  </si>
  <si>
    <t>MC=</t>
  </si>
  <si>
    <t>MD=</t>
  </si>
  <si>
    <t>N.mm</t>
  </si>
  <si>
    <t>L.n(1)=</t>
  </si>
  <si>
    <t>L.n(2)=</t>
  </si>
  <si>
    <t>L.n(3)=</t>
  </si>
  <si>
    <t>L.n(4)=</t>
  </si>
  <si>
    <t>L.n(5)=</t>
  </si>
  <si>
    <t>تعیین  لنگرهای طراحی</t>
  </si>
  <si>
    <t>تعیین ضخامت سقف</t>
  </si>
  <si>
    <t>h=</t>
  </si>
  <si>
    <t>طراحی آرماتور کششی</t>
  </si>
  <si>
    <t>D</t>
  </si>
  <si>
    <t>m.m2</t>
  </si>
  <si>
    <t>طراحی آرماتورفشاری</t>
  </si>
  <si>
    <t>A</t>
  </si>
  <si>
    <t>KN-m</t>
  </si>
  <si>
    <t>طرح آرماتور برشی</t>
  </si>
  <si>
    <t>N</t>
  </si>
  <si>
    <r>
      <t>به اندازه0.</t>
    </r>
    <r>
      <rPr>
        <i/>
        <sz val="18"/>
        <color theme="9" tint="-0.499984740745262"/>
        <rFont val="IranNastaliq"/>
        <family val="1"/>
        <charset val="204"/>
      </rPr>
      <t>2</t>
    </r>
    <r>
      <rPr>
        <sz val="18"/>
        <color theme="9" tint="-0.499984740745262"/>
        <rFont val="IranNastaliq"/>
        <family val="1"/>
        <charset val="204"/>
      </rPr>
      <t xml:space="preserve"> دهانه آزاد در تکیه گاه به طرف داخل ادمه می یابد</t>
    </r>
  </si>
  <si>
    <t>متر</t>
  </si>
  <si>
    <t>میلگرد بالایی</t>
  </si>
  <si>
    <t>میلگرد افت و حرارت</t>
  </si>
  <si>
    <t>mm</t>
  </si>
  <si>
    <t>کلاف میانی</t>
  </si>
  <si>
    <t>یک انتها ساده یک انتها پیوسته</t>
  </si>
  <si>
    <t>عرض کلاف برابر با 100 میلی متر مساوی با عرض تیرچه و ارتفاع آن را برابر با ارتفاع سقف گرفتیم و  همچنین فاصله کلاف ها نباید از 2.5 متر تجاوز کند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</si>
</sst>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sz val="20"/>
      <color theme="1"/>
      <name val="IranNastaliq"/>
      <family val="1"/>
      <charset val="204"/>
    </font>
    <font>
      <sz val="22"/>
      <color theme="1"/>
      <name val="IranNastaliq"/>
      <family val="1"/>
      <charset val="204"/>
    </font>
    <font>
      <sz val="24"/>
      <color theme="1"/>
      <name val="IranNastaliq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36"/>
      <color theme="1"/>
      <name val="IranNastaliq"/>
      <family val="1"/>
      <charset val="204"/>
    </font>
    <font>
      <sz val="3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20"/>
      <color theme="9" tint="-0.499984740745262"/>
      <name val="IranNastaliq"/>
      <family val="1"/>
      <charset val="204"/>
    </font>
    <font>
      <b/>
      <sz val="12"/>
      <color theme="9" tint="-0.4999847407452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9" tint="-0.49998474074526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IranNastaliq"/>
      <family val="1"/>
      <charset val="204"/>
    </font>
    <font>
      <i/>
      <sz val="18"/>
      <color theme="9" tint="-0.499984740745262"/>
      <name val="IranNastaliq"/>
      <family val="1"/>
      <charset val="204"/>
    </font>
    <font>
      <sz val="16"/>
      <color theme="9" tint="-0.499984740745262"/>
      <name val="IranNastaliq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NumberFormat="1" applyFill="1"/>
    <xf numFmtId="0" fontId="8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left"/>
    </xf>
    <xf numFmtId="0" fontId="15" fillId="3" borderId="0" xfId="0" applyFont="1" applyFill="1" applyAlignment="1">
      <alignment horizontal="center"/>
    </xf>
    <xf numFmtId="0" fontId="15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 applyProtection="1">
      <alignment horizontal="left"/>
      <protection locked="0"/>
    </xf>
    <xf numFmtId="0" fontId="20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/>
    <xf numFmtId="0" fontId="9" fillId="3" borderId="0" xfId="0" applyFont="1" applyFill="1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1" fillId="3" borderId="0" xfId="0" applyFont="1" applyFill="1"/>
    <xf numFmtId="0" fontId="14" fillId="3" borderId="0" xfId="0" applyFont="1" applyFill="1"/>
    <xf numFmtId="0" fontId="18" fillId="3" borderId="0" xfId="0" applyFont="1" applyFill="1"/>
    <xf numFmtId="0" fontId="17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top"/>
    </xf>
    <xf numFmtId="0" fontId="4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3" borderId="0" xfId="0" applyFont="1" applyFill="1" applyAlignment="1">
      <alignment horizontal="right"/>
    </xf>
    <xf numFmtId="0" fontId="12" fillId="3" borderId="0" xfId="0" applyFont="1" applyFill="1" applyAlignment="1">
      <alignment horizontal="right"/>
    </xf>
    <xf numFmtId="0" fontId="5" fillId="3" borderId="0" xfId="0" applyFont="1" applyFill="1" applyAlignment="1">
      <alignment horizontal="center" vertical="top"/>
    </xf>
    <xf numFmtId="0" fontId="4" fillId="3" borderId="0" xfId="0" applyFont="1" applyFill="1" applyAlignment="1">
      <alignment horizontal="center" vertical="center"/>
    </xf>
    <xf numFmtId="0" fontId="0" fillId="3" borderId="0" xfId="0" applyFill="1" applyAlignment="1">
      <alignment horizontal="right"/>
    </xf>
    <xf numFmtId="0" fontId="21" fillId="3" borderId="0" xfId="0" applyFont="1" applyFill="1" applyAlignment="1">
      <alignment horizontal="center" vertical="top"/>
    </xf>
    <xf numFmtId="0" fontId="17" fillId="3" borderId="0" xfId="0" applyFont="1" applyFill="1" applyAlignment="1">
      <alignment horizontal="center" vertical="center"/>
    </xf>
    <xf numFmtId="0" fontId="23" fillId="3" borderId="0" xfId="0" applyFont="1" applyFill="1" applyAlignment="1"/>
    <xf numFmtId="0" fontId="1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7" fillId="3" borderId="0" xfId="0" applyFont="1" applyFill="1" applyAlignment="1">
      <alignment horizontal="right" vertical="top"/>
    </xf>
    <xf numFmtId="0" fontId="5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  <xf numFmtId="0" fontId="2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34" Type="http://schemas.openxmlformats.org/officeDocument/2006/relationships/image" Target="../media/image34.emf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7" Type="http://schemas.openxmlformats.org/officeDocument/2006/relationships/image" Target="../media/image7.emf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emf"/><Relationship Id="rId54" Type="http://schemas.openxmlformats.org/officeDocument/2006/relationships/image" Target="../media/image54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emf"/><Relationship Id="rId5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11</xdr:row>
      <xdr:rowOff>180976</xdr:rowOff>
    </xdr:from>
    <xdr:to>
      <xdr:col>4</xdr:col>
      <xdr:colOff>28576</xdr:colOff>
      <xdr:row>13</xdr:row>
      <xdr:rowOff>57150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4350" y="2466976"/>
          <a:ext cx="1952626" cy="257174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504827</xdr:colOff>
      <xdr:row>14</xdr:row>
      <xdr:rowOff>1</xdr:rowOff>
    </xdr:from>
    <xdr:to>
      <xdr:col>3</xdr:col>
      <xdr:colOff>47625</xdr:colOff>
      <xdr:row>15</xdr:row>
      <xdr:rowOff>47625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4827" y="2857501"/>
          <a:ext cx="1371598" cy="2381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409575</xdr:colOff>
      <xdr:row>17</xdr:row>
      <xdr:rowOff>180976</xdr:rowOff>
    </xdr:from>
    <xdr:to>
      <xdr:col>6</xdr:col>
      <xdr:colOff>414958</xdr:colOff>
      <xdr:row>21</xdr:row>
      <xdr:rowOff>19052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9575" y="2971801"/>
          <a:ext cx="3762375" cy="60007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523876</xdr:colOff>
      <xdr:row>22</xdr:row>
      <xdr:rowOff>180975</xdr:rowOff>
    </xdr:from>
    <xdr:to>
      <xdr:col>5</xdr:col>
      <xdr:colOff>348284</xdr:colOff>
      <xdr:row>24</xdr:row>
      <xdr:rowOff>19050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3876" y="3924300"/>
          <a:ext cx="2971800" cy="2190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571499</xdr:colOff>
      <xdr:row>24</xdr:row>
      <xdr:rowOff>19050</xdr:rowOff>
    </xdr:from>
    <xdr:to>
      <xdr:col>1</xdr:col>
      <xdr:colOff>200024</xdr:colOff>
      <xdr:row>25</xdr:row>
      <xdr:rowOff>104775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71499" y="4143375"/>
          <a:ext cx="238125" cy="28575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495300</xdr:colOff>
      <xdr:row>24</xdr:row>
      <xdr:rowOff>19050</xdr:rowOff>
    </xdr:from>
    <xdr:to>
      <xdr:col>2</xdr:col>
      <xdr:colOff>171450</xdr:colOff>
      <xdr:row>25</xdr:row>
      <xdr:rowOff>95250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104900" y="4143375"/>
          <a:ext cx="285750" cy="2762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590550</xdr:colOff>
      <xdr:row>24</xdr:row>
      <xdr:rowOff>19051</xdr:rowOff>
    </xdr:from>
    <xdr:to>
      <xdr:col>4</xdr:col>
      <xdr:colOff>266700</xdr:colOff>
      <xdr:row>25</xdr:row>
      <xdr:rowOff>123826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419350" y="4143376"/>
          <a:ext cx="285750" cy="3048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66675</xdr:colOff>
      <xdr:row>24</xdr:row>
      <xdr:rowOff>28575</xdr:rowOff>
    </xdr:from>
    <xdr:to>
      <xdr:col>5</xdr:col>
      <xdr:colOff>304800</xdr:colOff>
      <xdr:row>25</xdr:row>
      <xdr:rowOff>142875</xdr:rowOff>
    </xdr:to>
    <xdr:pic>
      <xdr:nvPicPr>
        <xdr:cNvPr id="1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114675" y="4152900"/>
          <a:ext cx="238125" cy="3143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590550</xdr:colOff>
      <xdr:row>24</xdr:row>
      <xdr:rowOff>38100</xdr:rowOff>
    </xdr:from>
    <xdr:to>
      <xdr:col>3</xdr:col>
      <xdr:colOff>228600</xdr:colOff>
      <xdr:row>26</xdr:row>
      <xdr:rowOff>9525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809750" y="4162425"/>
          <a:ext cx="247650" cy="3619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533400</xdr:colOff>
      <xdr:row>22</xdr:row>
      <xdr:rowOff>38100</xdr:rowOff>
    </xdr:from>
    <xdr:to>
      <xdr:col>1</xdr:col>
      <xdr:colOff>238125</xdr:colOff>
      <xdr:row>23</xdr:row>
      <xdr:rowOff>41423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533400" y="3781425"/>
          <a:ext cx="314325" cy="19382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19050</xdr:colOff>
      <xdr:row>22</xdr:row>
      <xdr:rowOff>47625</xdr:rowOff>
    </xdr:from>
    <xdr:to>
      <xdr:col>5</xdr:col>
      <xdr:colOff>333375</xdr:colOff>
      <xdr:row>23</xdr:row>
      <xdr:rowOff>79523</xdr:rowOff>
    </xdr:to>
    <xdr:pic>
      <xdr:nvPicPr>
        <xdr:cNvPr id="13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067050" y="3790950"/>
          <a:ext cx="314325" cy="222398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38100</xdr:colOff>
      <xdr:row>22</xdr:row>
      <xdr:rowOff>28575</xdr:rowOff>
    </xdr:from>
    <xdr:to>
      <xdr:col>3</xdr:col>
      <xdr:colOff>286253</xdr:colOff>
      <xdr:row>23</xdr:row>
      <xdr:rowOff>38101</xdr:rowOff>
    </xdr:to>
    <xdr:pic>
      <xdr:nvPicPr>
        <xdr:cNvPr id="103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866900" y="3771900"/>
          <a:ext cx="248153" cy="20002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504825</xdr:colOff>
      <xdr:row>22</xdr:row>
      <xdr:rowOff>57149</xdr:rowOff>
    </xdr:from>
    <xdr:to>
      <xdr:col>2</xdr:col>
      <xdr:colOff>175736</xdr:colOff>
      <xdr:row>23</xdr:row>
      <xdr:rowOff>47624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114425" y="3800474"/>
          <a:ext cx="280511" cy="1809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182632</xdr:colOff>
      <xdr:row>30</xdr:row>
      <xdr:rowOff>139147</xdr:rowOff>
    </xdr:from>
    <xdr:to>
      <xdr:col>4</xdr:col>
      <xdr:colOff>458857</xdr:colOff>
      <xdr:row>33</xdr:row>
      <xdr:rowOff>7040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34284" y="5878995"/>
          <a:ext cx="276225" cy="4476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122997</xdr:colOff>
      <xdr:row>30</xdr:row>
      <xdr:rowOff>185531</xdr:rowOff>
    </xdr:from>
    <xdr:to>
      <xdr:col>4</xdr:col>
      <xdr:colOff>136664</xdr:colOff>
      <xdr:row>32</xdr:row>
      <xdr:rowOff>90281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48823" y="5925379"/>
          <a:ext cx="1239493" cy="2857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22</xdr:row>
      <xdr:rowOff>47625</xdr:rowOff>
    </xdr:from>
    <xdr:to>
      <xdr:col>4</xdr:col>
      <xdr:colOff>280511</xdr:colOff>
      <xdr:row>23</xdr:row>
      <xdr:rowOff>38100</xdr:rowOff>
    </xdr:to>
    <xdr:pic>
      <xdr:nvPicPr>
        <xdr:cNvPr id="2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438400" y="3790950"/>
          <a:ext cx="280511" cy="1809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230256</xdr:colOff>
      <xdr:row>35</xdr:row>
      <xdr:rowOff>86967</xdr:rowOff>
    </xdr:from>
    <xdr:to>
      <xdr:col>4</xdr:col>
      <xdr:colOff>506481</xdr:colOff>
      <xdr:row>37</xdr:row>
      <xdr:rowOff>153643</xdr:rowOff>
    </xdr:to>
    <xdr:pic>
      <xdr:nvPicPr>
        <xdr:cNvPr id="2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81908" y="7367380"/>
          <a:ext cx="276225" cy="464241"/>
        </a:xfrm>
        <a:prstGeom prst="rect">
          <a:avLst/>
        </a:prstGeom>
        <a:noFill/>
      </xdr:spPr>
    </xdr:pic>
    <xdr:clientData/>
  </xdr:twoCellAnchor>
  <xdr:twoCellAnchor>
    <xdr:from>
      <xdr:col>2</xdr:col>
      <xdr:colOff>89866</xdr:colOff>
      <xdr:row>35</xdr:row>
      <xdr:rowOff>152399</xdr:rowOff>
    </xdr:from>
    <xdr:to>
      <xdr:col>4</xdr:col>
      <xdr:colOff>103533</xdr:colOff>
      <xdr:row>37</xdr:row>
      <xdr:rowOff>57150</xdr:rowOff>
    </xdr:to>
    <xdr:pic>
      <xdr:nvPicPr>
        <xdr:cNvPr id="2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15692" y="7432812"/>
          <a:ext cx="1239493" cy="302316"/>
        </a:xfrm>
        <a:prstGeom prst="rect">
          <a:avLst/>
        </a:prstGeom>
        <a:noFill/>
      </xdr:spPr>
    </xdr:pic>
    <xdr:clientData/>
  </xdr:twoCellAnchor>
  <xdr:twoCellAnchor>
    <xdr:from>
      <xdr:col>2</xdr:col>
      <xdr:colOff>147845</xdr:colOff>
      <xdr:row>39</xdr:row>
      <xdr:rowOff>193812</xdr:rowOff>
    </xdr:from>
    <xdr:to>
      <xdr:col>4</xdr:col>
      <xdr:colOff>161512</xdr:colOff>
      <xdr:row>41</xdr:row>
      <xdr:rowOff>98561</xdr:rowOff>
    </xdr:to>
    <xdr:pic>
      <xdr:nvPicPr>
        <xdr:cNvPr id="26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73671" y="8269355"/>
          <a:ext cx="1239493" cy="3023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164410</xdr:colOff>
      <xdr:row>45</xdr:row>
      <xdr:rowOff>144118</xdr:rowOff>
    </xdr:from>
    <xdr:to>
      <xdr:col>4</xdr:col>
      <xdr:colOff>178077</xdr:colOff>
      <xdr:row>47</xdr:row>
      <xdr:rowOff>48868</xdr:rowOff>
    </xdr:to>
    <xdr:pic>
      <xdr:nvPicPr>
        <xdr:cNvPr id="2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90236" y="9404075"/>
          <a:ext cx="1239493" cy="302315"/>
        </a:xfrm>
        <a:prstGeom prst="rect">
          <a:avLst/>
        </a:prstGeom>
        <a:noFill/>
      </xdr:spPr>
    </xdr:pic>
    <xdr:clientData/>
  </xdr:twoCellAnchor>
  <xdr:twoCellAnchor>
    <xdr:from>
      <xdr:col>4</xdr:col>
      <xdr:colOff>214520</xdr:colOff>
      <xdr:row>45</xdr:row>
      <xdr:rowOff>86968</xdr:rowOff>
    </xdr:from>
    <xdr:to>
      <xdr:col>4</xdr:col>
      <xdr:colOff>490745</xdr:colOff>
      <xdr:row>47</xdr:row>
      <xdr:rowOff>153643</xdr:rowOff>
    </xdr:to>
    <xdr:pic>
      <xdr:nvPicPr>
        <xdr:cNvPr id="3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6172" y="9346925"/>
          <a:ext cx="276225" cy="46424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264215</xdr:colOff>
      <xdr:row>39</xdr:row>
      <xdr:rowOff>140391</xdr:rowOff>
    </xdr:from>
    <xdr:to>
      <xdr:col>4</xdr:col>
      <xdr:colOff>540440</xdr:colOff>
      <xdr:row>42</xdr:row>
      <xdr:rowOff>8283</xdr:rowOff>
    </xdr:to>
    <xdr:pic>
      <xdr:nvPicPr>
        <xdr:cNvPr id="3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15867" y="8215934"/>
          <a:ext cx="276225" cy="46424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73301</xdr:colOff>
      <xdr:row>50</xdr:row>
      <xdr:rowOff>152400</xdr:rowOff>
    </xdr:from>
    <xdr:to>
      <xdr:col>4</xdr:col>
      <xdr:colOff>86968</xdr:colOff>
      <xdr:row>52</xdr:row>
      <xdr:rowOff>57150</xdr:rowOff>
    </xdr:to>
    <xdr:pic>
      <xdr:nvPicPr>
        <xdr:cNvPr id="3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99127" y="10406270"/>
          <a:ext cx="1239493" cy="30231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156542</xdr:colOff>
      <xdr:row>50</xdr:row>
      <xdr:rowOff>86967</xdr:rowOff>
    </xdr:from>
    <xdr:to>
      <xdr:col>4</xdr:col>
      <xdr:colOff>432767</xdr:colOff>
      <xdr:row>52</xdr:row>
      <xdr:rowOff>153642</xdr:rowOff>
    </xdr:to>
    <xdr:pic>
      <xdr:nvPicPr>
        <xdr:cNvPr id="33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08194" y="10340837"/>
          <a:ext cx="276225" cy="4642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434423</xdr:colOff>
      <xdr:row>30</xdr:row>
      <xdr:rowOff>140390</xdr:rowOff>
    </xdr:from>
    <xdr:to>
      <xdr:col>1</xdr:col>
      <xdr:colOff>348698</xdr:colOff>
      <xdr:row>32</xdr:row>
      <xdr:rowOff>92765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4423" y="5880238"/>
          <a:ext cx="527188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440221</xdr:colOff>
      <xdr:row>35</xdr:row>
      <xdr:rowOff>107259</xdr:rowOff>
    </xdr:from>
    <xdr:to>
      <xdr:col>1</xdr:col>
      <xdr:colOff>313083</xdr:colOff>
      <xdr:row>37</xdr:row>
      <xdr:rowOff>78685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0221" y="7387672"/>
          <a:ext cx="485775" cy="368991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401293</xdr:colOff>
      <xdr:row>39</xdr:row>
      <xdr:rowOff>155714</xdr:rowOff>
    </xdr:from>
    <xdr:to>
      <xdr:col>1</xdr:col>
      <xdr:colOff>325093</xdr:colOff>
      <xdr:row>41</xdr:row>
      <xdr:rowOff>136665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1293" y="8231257"/>
          <a:ext cx="536713" cy="378517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447262</xdr:colOff>
      <xdr:row>45</xdr:row>
      <xdr:rowOff>86139</xdr:rowOff>
    </xdr:from>
    <xdr:to>
      <xdr:col>1</xdr:col>
      <xdr:colOff>329649</xdr:colOff>
      <xdr:row>46</xdr:row>
      <xdr:rowOff>189672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7262" y="9346096"/>
          <a:ext cx="495300" cy="30231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455545</xdr:colOff>
      <xdr:row>50</xdr:row>
      <xdr:rowOff>58393</xdr:rowOff>
    </xdr:from>
    <xdr:to>
      <xdr:col>1</xdr:col>
      <xdr:colOff>280782</xdr:colOff>
      <xdr:row>52</xdr:row>
      <xdr:rowOff>67918</xdr:rowOff>
    </xdr:to>
    <xdr:pic>
      <xdr:nvPicPr>
        <xdr:cNvPr id="104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5545" y="10312263"/>
          <a:ext cx="438150" cy="40709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501511</xdr:colOff>
      <xdr:row>30</xdr:row>
      <xdr:rowOff>47625</xdr:rowOff>
    </xdr:from>
    <xdr:to>
      <xdr:col>1</xdr:col>
      <xdr:colOff>600074</xdr:colOff>
      <xdr:row>32</xdr:row>
      <xdr:rowOff>170208</xdr:rowOff>
    </xdr:to>
    <xdr:pic>
      <xdr:nvPicPr>
        <xdr:cNvPr id="1050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14424" y="5787473"/>
          <a:ext cx="98563" cy="503583"/>
        </a:xfrm>
        <a:prstGeom prst="rect">
          <a:avLst/>
        </a:prstGeom>
        <a:noFill/>
      </xdr:spPr>
    </xdr:pic>
    <xdr:clientData/>
  </xdr:twoCellAnchor>
  <xdr:twoCellAnchor>
    <xdr:from>
      <xdr:col>1</xdr:col>
      <xdr:colOff>446018</xdr:colOff>
      <xdr:row>35</xdr:row>
      <xdr:rowOff>35616</xdr:rowOff>
    </xdr:from>
    <xdr:to>
      <xdr:col>1</xdr:col>
      <xdr:colOff>544581</xdr:colOff>
      <xdr:row>37</xdr:row>
      <xdr:rowOff>149917</xdr:rowOff>
    </xdr:to>
    <xdr:pic>
      <xdr:nvPicPr>
        <xdr:cNvPr id="105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58931" y="7316029"/>
          <a:ext cx="98563" cy="511866"/>
        </a:xfrm>
        <a:prstGeom prst="rect">
          <a:avLst/>
        </a:prstGeom>
        <a:noFill/>
      </xdr:spPr>
    </xdr:pic>
    <xdr:clientData/>
  </xdr:twoCellAnchor>
  <xdr:twoCellAnchor>
    <xdr:from>
      <xdr:col>1</xdr:col>
      <xdr:colOff>449746</xdr:colOff>
      <xdr:row>39</xdr:row>
      <xdr:rowOff>78270</xdr:rowOff>
    </xdr:from>
    <xdr:to>
      <xdr:col>1</xdr:col>
      <xdr:colOff>548309</xdr:colOff>
      <xdr:row>41</xdr:row>
      <xdr:rowOff>192570</xdr:rowOff>
    </xdr:to>
    <xdr:pic>
      <xdr:nvPicPr>
        <xdr:cNvPr id="105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62659" y="8153813"/>
          <a:ext cx="98563" cy="511866"/>
        </a:xfrm>
        <a:prstGeom prst="rect">
          <a:avLst/>
        </a:prstGeom>
        <a:noFill/>
      </xdr:spPr>
    </xdr:pic>
    <xdr:clientData/>
  </xdr:twoCellAnchor>
  <xdr:twoCellAnchor>
    <xdr:from>
      <xdr:col>1</xdr:col>
      <xdr:colOff>586824</xdr:colOff>
      <xdr:row>44</xdr:row>
      <xdr:rowOff>154057</xdr:rowOff>
    </xdr:from>
    <xdr:to>
      <xdr:col>2</xdr:col>
      <xdr:colOff>72474</xdr:colOff>
      <xdr:row>47</xdr:row>
      <xdr:rowOff>69574</xdr:rowOff>
    </xdr:to>
    <xdr:pic>
      <xdr:nvPicPr>
        <xdr:cNvPr id="1053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99737" y="9215231"/>
          <a:ext cx="98563" cy="5118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423656</xdr:colOff>
      <xdr:row>50</xdr:row>
      <xdr:rowOff>27332</xdr:rowOff>
    </xdr:from>
    <xdr:to>
      <xdr:col>1</xdr:col>
      <xdr:colOff>522219</xdr:colOff>
      <xdr:row>52</xdr:row>
      <xdr:rowOff>141631</xdr:rowOff>
    </xdr:to>
    <xdr:pic>
      <xdr:nvPicPr>
        <xdr:cNvPr id="105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6569" y="10281202"/>
          <a:ext cx="98563" cy="51186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219075</xdr:colOff>
      <xdr:row>66</xdr:row>
      <xdr:rowOff>49696</xdr:rowOff>
    </xdr:from>
    <xdr:to>
      <xdr:col>9</xdr:col>
      <xdr:colOff>28162</xdr:colOff>
      <xdr:row>73</xdr:row>
      <xdr:rowOff>180975</xdr:rowOff>
    </xdr:to>
    <xdr:pic>
      <xdr:nvPicPr>
        <xdr:cNvPr id="105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 l="12081"/>
        <a:stretch>
          <a:fillRect/>
        </a:stretch>
      </xdr:blipFill>
      <xdr:spPr bwMode="auto">
        <a:xfrm>
          <a:off x="3995945" y="13169348"/>
          <a:ext cx="1912869" cy="1464779"/>
        </a:xfrm>
        <a:prstGeom prst="rect">
          <a:avLst/>
        </a:prstGeom>
        <a:noFill/>
      </xdr:spPr>
    </xdr:pic>
    <xdr:clientData/>
  </xdr:twoCellAnchor>
  <xdr:twoCellAnchor>
    <xdr:from>
      <xdr:col>7</xdr:col>
      <xdr:colOff>361950</xdr:colOff>
      <xdr:row>58</xdr:row>
      <xdr:rowOff>133350</xdr:rowOff>
    </xdr:from>
    <xdr:to>
      <xdr:col>7</xdr:col>
      <xdr:colOff>638175</xdr:colOff>
      <xdr:row>60</xdr:row>
      <xdr:rowOff>171450</xdr:rowOff>
    </xdr:to>
    <xdr:pic>
      <xdr:nvPicPr>
        <xdr:cNvPr id="54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29150" y="11020425"/>
          <a:ext cx="276225" cy="4667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514350</xdr:colOff>
      <xdr:row>81</xdr:row>
      <xdr:rowOff>85725</xdr:rowOff>
    </xdr:from>
    <xdr:to>
      <xdr:col>2</xdr:col>
      <xdr:colOff>152400</xdr:colOff>
      <xdr:row>83</xdr:row>
      <xdr:rowOff>219075</xdr:rowOff>
    </xdr:to>
    <xdr:pic>
      <xdr:nvPicPr>
        <xdr:cNvPr id="5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23950" y="15401925"/>
          <a:ext cx="247650" cy="561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381001</xdr:colOff>
      <xdr:row>71</xdr:row>
      <xdr:rowOff>133350</xdr:rowOff>
    </xdr:from>
    <xdr:to>
      <xdr:col>3</xdr:col>
      <xdr:colOff>19050</xdr:colOff>
      <xdr:row>74</xdr:row>
      <xdr:rowOff>19050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1001" y="13544550"/>
          <a:ext cx="1466849" cy="4572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466725</xdr:colOff>
      <xdr:row>65</xdr:row>
      <xdr:rowOff>133350</xdr:rowOff>
    </xdr:from>
    <xdr:to>
      <xdr:col>1</xdr:col>
      <xdr:colOff>95250</xdr:colOff>
      <xdr:row>67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5" y="12401550"/>
          <a:ext cx="238125" cy="3238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419100</xdr:colOff>
      <xdr:row>65</xdr:row>
      <xdr:rowOff>142875</xdr:rowOff>
    </xdr:from>
    <xdr:to>
      <xdr:col>3</xdr:col>
      <xdr:colOff>47625</xdr:colOff>
      <xdr:row>67</xdr:row>
      <xdr:rowOff>76200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38300" y="12411075"/>
          <a:ext cx="238125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419100</xdr:colOff>
      <xdr:row>65</xdr:row>
      <xdr:rowOff>138112</xdr:rowOff>
    </xdr:from>
    <xdr:to>
      <xdr:col>3</xdr:col>
      <xdr:colOff>561975</xdr:colOff>
      <xdr:row>67</xdr:row>
      <xdr:rowOff>114300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47900" y="12406312"/>
          <a:ext cx="142875" cy="357188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409574</xdr:colOff>
      <xdr:row>74</xdr:row>
      <xdr:rowOff>133350</xdr:rowOff>
    </xdr:from>
    <xdr:to>
      <xdr:col>3</xdr:col>
      <xdr:colOff>47625</xdr:colOff>
      <xdr:row>76</xdr:row>
      <xdr:rowOff>152399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574" y="14116050"/>
          <a:ext cx="1466851" cy="4000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466726</xdr:colOff>
      <xdr:row>68</xdr:row>
      <xdr:rowOff>95251</xdr:rowOff>
    </xdr:from>
    <xdr:to>
      <xdr:col>5</xdr:col>
      <xdr:colOff>9526</xdr:colOff>
      <xdr:row>70</xdr:row>
      <xdr:rowOff>171451</xdr:rowOff>
    </xdr:to>
    <xdr:pic>
      <xdr:nvPicPr>
        <xdr:cNvPr id="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6726" y="12934951"/>
          <a:ext cx="2590800" cy="4572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38101</xdr:colOff>
      <xdr:row>74</xdr:row>
      <xdr:rowOff>171450</xdr:rowOff>
    </xdr:from>
    <xdr:to>
      <xdr:col>5</xdr:col>
      <xdr:colOff>171450</xdr:colOff>
      <xdr:row>76</xdr:row>
      <xdr:rowOff>57149</xdr:rowOff>
    </xdr:to>
    <xdr:pic>
      <xdr:nvPicPr>
        <xdr:cNvPr id="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76501" y="14154150"/>
          <a:ext cx="742949" cy="266699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409574</xdr:colOff>
      <xdr:row>78</xdr:row>
      <xdr:rowOff>28575</xdr:rowOff>
    </xdr:from>
    <xdr:to>
      <xdr:col>5</xdr:col>
      <xdr:colOff>581025</xdr:colOff>
      <xdr:row>81</xdr:row>
      <xdr:rowOff>19050</xdr:rowOff>
    </xdr:to>
    <xdr:pic>
      <xdr:nvPicPr>
        <xdr:cNvPr id="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574" y="14773275"/>
          <a:ext cx="3219451" cy="561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438150</xdr:colOff>
      <xdr:row>81</xdr:row>
      <xdr:rowOff>76201</xdr:rowOff>
    </xdr:from>
    <xdr:to>
      <xdr:col>0</xdr:col>
      <xdr:colOff>590550</xdr:colOff>
      <xdr:row>83</xdr:row>
      <xdr:rowOff>237710</xdr:rowOff>
    </xdr:to>
    <xdr:pic>
      <xdr:nvPicPr>
        <xdr:cNvPr id="47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8150" y="15392401"/>
          <a:ext cx="152400" cy="590134"/>
        </a:xfrm>
        <a:prstGeom prst="rect">
          <a:avLst/>
        </a:prstGeom>
        <a:noFill/>
      </xdr:spPr>
    </xdr:pic>
    <xdr:clientData/>
  </xdr:twoCellAnchor>
  <xdr:twoCellAnchor>
    <xdr:from>
      <xdr:col>2</xdr:col>
      <xdr:colOff>161925</xdr:colOff>
      <xdr:row>81</xdr:row>
      <xdr:rowOff>152400</xdr:rowOff>
    </xdr:from>
    <xdr:to>
      <xdr:col>2</xdr:col>
      <xdr:colOff>600074</xdr:colOff>
      <xdr:row>83</xdr:row>
      <xdr:rowOff>57150</xdr:rowOff>
    </xdr:to>
    <xdr:pic>
      <xdr:nvPicPr>
        <xdr:cNvPr id="48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1125" y="15468600"/>
          <a:ext cx="438149" cy="3333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419100</xdr:colOff>
      <xdr:row>81</xdr:row>
      <xdr:rowOff>114299</xdr:rowOff>
    </xdr:from>
    <xdr:to>
      <xdr:col>6</xdr:col>
      <xdr:colOff>9525</xdr:colOff>
      <xdr:row>83</xdr:row>
      <xdr:rowOff>114300</xdr:rowOff>
    </xdr:to>
    <xdr:pic>
      <xdr:nvPicPr>
        <xdr:cNvPr id="49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57500" y="15430499"/>
          <a:ext cx="809625" cy="428626"/>
        </a:xfrm>
        <a:prstGeom prst="rect">
          <a:avLst/>
        </a:prstGeom>
        <a:noFill/>
      </xdr:spPr>
    </xdr:pic>
    <xdr:clientData/>
  </xdr:twoCellAnchor>
  <xdr:twoCellAnchor>
    <xdr:from>
      <xdr:col>6</xdr:col>
      <xdr:colOff>371475</xdr:colOff>
      <xdr:row>81</xdr:row>
      <xdr:rowOff>85725</xdr:rowOff>
    </xdr:from>
    <xdr:to>
      <xdr:col>7</xdr:col>
      <xdr:colOff>9525</xdr:colOff>
      <xdr:row>83</xdr:row>
      <xdr:rowOff>219075</xdr:rowOff>
    </xdr:to>
    <xdr:pic>
      <xdr:nvPicPr>
        <xdr:cNvPr id="5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29075" y="15401925"/>
          <a:ext cx="247650" cy="561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314324</xdr:colOff>
      <xdr:row>83</xdr:row>
      <xdr:rowOff>190500</xdr:rowOff>
    </xdr:from>
    <xdr:to>
      <xdr:col>3</xdr:col>
      <xdr:colOff>9525</xdr:colOff>
      <xdr:row>85</xdr:row>
      <xdr:rowOff>76200</xdr:rowOff>
    </xdr:to>
    <xdr:pic>
      <xdr:nvPicPr>
        <xdr:cNvPr id="51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23924" y="15935325"/>
          <a:ext cx="914401" cy="3238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81</xdr:row>
      <xdr:rowOff>161925</xdr:rowOff>
    </xdr:from>
    <xdr:to>
      <xdr:col>8</xdr:col>
      <xdr:colOff>180974</xdr:colOff>
      <xdr:row>83</xdr:row>
      <xdr:rowOff>57150</xdr:rowOff>
    </xdr:to>
    <xdr:pic>
      <xdr:nvPicPr>
        <xdr:cNvPr id="5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19625" y="15478125"/>
          <a:ext cx="476249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104776</xdr:colOff>
      <xdr:row>83</xdr:row>
      <xdr:rowOff>200025</xdr:rowOff>
    </xdr:from>
    <xdr:to>
      <xdr:col>5</xdr:col>
      <xdr:colOff>504826</xdr:colOff>
      <xdr:row>85</xdr:row>
      <xdr:rowOff>47624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543176" y="15944850"/>
          <a:ext cx="1009650" cy="28574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124239</xdr:colOff>
      <xdr:row>89</xdr:row>
      <xdr:rowOff>93595</xdr:rowOff>
    </xdr:from>
    <xdr:to>
      <xdr:col>9</xdr:col>
      <xdr:colOff>321779</xdr:colOff>
      <xdr:row>96</xdr:row>
      <xdr:rowOff>180562</xdr:rowOff>
    </xdr:to>
    <xdr:pic>
      <xdr:nvPicPr>
        <xdr:cNvPr id="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 bwMode="auto">
        <a:xfrm>
          <a:off x="4638261" y="17752117"/>
          <a:ext cx="1564170" cy="1428749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458442</xdr:colOff>
      <xdr:row>89</xdr:row>
      <xdr:rowOff>133350</xdr:rowOff>
    </xdr:from>
    <xdr:to>
      <xdr:col>1</xdr:col>
      <xdr:colOff>86967</xdr:colOff>
      <xdr:row>91</xdr:row>
      <xdr:rowOff>76200</xdr:rowOff>
    </xdr:to>
    <xdr:pic>
      <xdr:nvPicPr>
        <xdr:cNvPr id="6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8442" y="16922198"/>
          <a:ext cx="241438" cy="332132"/>
        </a:xfrm>
        <a:prstGeom prst="rect">
          <a:avLst/>
        </a:prstGeom>
        <a:noFill/>
      </xdr:spPr>
    </xdr:pic>
    <xdr:clientData/>
  </xdr:twoCellAnchor>
  <xdr:twoCellAnchor>
    <xdr:from>
      <xdr:col>2</xdr:col>
      <xdr:colOff>419100</xdr:colOff>
      <xdr:row>89</xdr:row>
      <xdr:rowOff>142875</xdr:rowOff>
    </xdr:from>
    <xdr:to>
      <xdr:col>3</xdr:col>
      <xdr:colOff>47625</xdr:colOff>
      <xdr:row>91</xdr:row>
      <xdr:rowOff>76200</xdr:rowOff>
    </xdr:to>
    <xdr:pic>
      <xdr:nvPicPr>
        <xdr:cNvPr id="6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644926" y="12392853"/>
          <a:ext cx="241438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419100</xdr:colOff>
      <xdr:row>89</xdr:row>
      <xdr:rowOff>138112</xdr:rowOff>
    </xdr:from>
    <xdr:to>
      <xdr:col>3</xdr:col>
      <xdr:colOff>561975</xdr:colOff>
      <xdr:row>91</xdr:row>
      <xdr:rowOff>114300</xdr:rowOff>
    </xdr:to>
    <xdr:pic>
      <xdr:nvPicPr>
        <xdr:cNvPr id="7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57839" y="12388090"/>
          <a:ext cx="142875" cy="357188"/>
        </a:xfrm>
        <a:prstGeom prst="rect">
          <a:avLst/>
        </a:prstGeom>
        <a:noFill/>
      </xdr:spPr>
    </xdr:pic>
    <xdr:clientData/>
  </xdr:twoCellAnchor>
  <xdr:twoCellAnchor>
    <xdr:from>
      <xdr:col>0</xdr:col>
      <xdr:colOff>419100</xdr:colOff>
      <xdr:row>93</xdr:row>
      <xdr:rowOff>95250</xdr:rowOff>
    </xdr:from>
    <xdr:to>
      <xdr:col>5</xdr:col>
      <xdr:colOff>561975</xdr:colOff>
      <xdr:row>95</xdr:row>
      <xdr:rowOff>123825</xdr:rowOff>
    </xdr:to>
    <xdr:pic>
      <xdr:nvPicPr>
        <xdr:cNvPr id="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9100" y="2714625"/>
          <a:ext cx="3190875" cy="4095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390524</xdr:colOff>
      <xdr:row>97</xdr:row>
      <xdr:rowOff>9524</xdr:rowOff>
    </xdr:from>
    <xdr:to>
      <xdr:col>3</xdr:col>
      <xdr:colOff>533399</xdr:colOff>
      <xdr:row>98</xdr:row>
      <xdr:rowOff>76199</xdr:rowOff>
    </xdr:to>
    <xdr:pic>
      <xdr:nvPicPr>
        <xdr:cNvPr id="7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0524" y="3390899"/>
          <a:ext cx="197167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409574</xdr:colOff>
      <xdr:row>99</xdr:row>
      <xdr:rowOff>85725</xdr:rowOff>
    </xdr:from>
    <xdr:to>
      <xdr:col>4</xdr:col>
      <xdr:colOff>38099</xdr:colOff>
      <xdr:row>101</xdr:row>
      <xdr:rowOff>142875</xdr:rowOff>
    </xdr:to>
    <xdr:pic>
      <xdr:nvPicPr>
        <xdr:cNvPr id="7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09574" y="3848100"/>
          <a:ext cx="2066925" cy="4381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457200</xdr:colOff>
      <xdr:row>92</xdr:row>
      <xdr:rowOff>9525</xdr:rowOff>
    </xdr:from>
    <xdr:to>
      <xdr:col>1</xdr:col>
      <xdr:colOff>123825</xdr:colOff>
      <xdr:row>93</xdr:row>
      <xdr:rowOff>76200</xdr:rowOff>
    </xdr:to>
    <xdr:pic>
      <xdr:nvPicPr>
        <xdr:cNvPr id="7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7200" y="2438400"/>
          <a:ext cx="2762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428625</xdr:colOff>
      <xdr:row>102</xdr:row>
      <xdr:rowOff>104775</xdr:rowOff>
    </xdr:from>
    <xdr:to>
      <xdr:col>5</xdr:col>
      <xdr:colOff>600075</xdr:colOff>
      <xdr:row>104</xdr:row>
      <xdr:rowOff>142875</xdr:rowOff>
    </xdr:to>
    <xdr:pic>
      <xdr:nvPicPr>
        <xdr:cNvPr id="7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8625" y="4438650"/>
          <a:ext cx="3219450" cy="419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389282</xdr:colOff>
      <xdr:row>102</xdr:row>
      <xdr:rowOff>157369</xdr:rowOff>
    </xdr:from>
    <xdr:to>
      <xdr:col>7</xdr:col>
      <xdr:colOff>563216</xdr:colOff>
      <xdr:row>104</xdr:row>
      <xdr:rowOff>57979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79065" y="19621499"/>
          <a:ext cx="173934" cy="2816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397566</xdr:colOff>
      <xdr:row>105</xdr:row>
      <xdr:rowOff>82827</xdr:rowOff>
    </xdr:from>
    <xdr:to>
      <xdr:col>5</xdr:col>
      <xdr:colOff>569017</xdr:colOff>
      <xdr:row>108</xdr:row>
      <xdr:rowOff>23606</xdr:rowOff>
    </xdr:to>
    <xdr:pic>
      <xdr:nvPicPr>
        <xdr:cNvPr id="8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7566" y="20118457"/>
          <a:ext cx="3335408" cy="5619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514350</xdr:colOff>
      <xdr:row>108</xdr:row>
      <xdr:rowOff>85725</xdr:rowOff>
    </xdr:from>
    <xdr:to>
      <xdr:col>2</xdr:col>
      <xdr:colOff>152400</xdr:colOff>
      <xdr:row>110</xdr:row>
      <xdr:rowOff>219075</xdr:rowOff>
    </xdr:to>
    <xdr:pic>
      <xdr:nvPicPr>
        <xdr:cNvPr id="8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27263" y="15383703"/>
          <a:ext cx="250963" cy="564046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438150</xdr:colOff>
      <xdr:row>108</xdr:row>
      <xdr:rowOff>76201</xdr:rowOff>
    </xdr:from>
    <xdr:to>
      <xdr:col>0</xdr:col>
      <xdr:colOff>590550</xdr:colOff>
      <xdr:row>110</xdr:row>
      <xdr:rowOff>237710</xdr:rowOff>
    </xdr:to>
    <xdr:pic>
      <xdr:nvPicPr>
        <xdr:cNvPr id="83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8150" y="15374179"/>
          <a:ext cx="152400" cy="59220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161925</xdr:colOff>
      <xdr:row>108</xdr:row>
      <xdr:rowOff>152400</xdr:rowOff>
    </xdr:from>
    <xdr:to>
      <xdr:col>2</xdr:col>
      <xdr:colOff>600074</xdr:colOff>
      <xdr:row>110</xdr:row>
      <xdr:rowOff>57150</xdr:rowOff>
    </xdr:to>
    <xdr:pic>
      <xdr:nvPicPr>
        <xdr:cNvPr id="84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7751" y="15450378"/>
          <a:ext cx="438149" cy="335446"/>
        </a:xfrm>
        <a:prstGeom prst="rect">
          <a:avLst/>
        </a:prstGeom>
        <a:noFill/>
      </xdr:spPr>
    </xdr:pic>
    <xdr:clientData/>
  </xdr:twoCellAnchor>
  <xdr:twoCellAnchor>
    <xdr:from>
      <xdr:col>4</xdr:col>
      <xdr:colOff>419100</xdr:colOff>
      <xdr:row>108</xdr:row>
      <xdr:rowOff>114299</xdr:rowOff>
    </xdr:from>
    <xdr:to>
      <xdr:col>6</xdr:col>
      <xdr:colOff>9525</xdr:colOff>
      <xdr:row>110</xdr:row>
      <xdr:rowOff>114300</xdr:rowOff>
    </xdr:to>
    <xdr:pic>
      <xdr:nvPicPr>
        <xdr:cNvPr id="8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70752" y="15412277"/>
          <a:ext cx="915643" cy="430697"/>
        </a:xfrm>
        <a:prstGeom prst="rect">
          <a:avLst/>
        </a:prstGeom>
        <a:noFill/>
      </xdr:spPr>
    </xdr:pic>
    <xdr:clientData/>
  </xdr:twoCellAnchor>
  <xdr:twoCellAnchor>
    <xdr:from>
      <xdr:col>6</xdr:col>
      <xdr:colOff>371476</xdr:colOff>
      <xdr:row>108</xdr:row>
      <xdr:rowOff>85725</xdr:rowOff>
    </xdr:from>
    <xdr:to>
      <xdr:col>6</xdr:col>
      <xdr:colOff>596348</xdr:colOff>
      <xdr:row>110</xdr:row>
      <xdr:rowOff>219075</xdr:rowOff>
    </xdr:to>
    <xdr:pic>
      <xdr:nvPicPr>
        <xdr:cNvPr id="8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48346" y="21421725"/>
          <a:ext cx="224872" cy="564046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421998</xdr:colOff>
      <xdr:row>110</xdr:row>
      <xdr:rowOff>173936</xdr:rowOff>
    </xdr:from>
    <xdr:to>
      <xdr:col>3</xdr:col>
      <xdr:colOff>117199</xdr:colOff>
      <xdr:row>112</xdr:row>
      <xdr:rowOff>157369</xdr:rowOff>
    </xdr:to>
    <xdr:pic>
      <xdr:nvPicPr>
        <xdr:cNvPr id="87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4911" y="21940632"/>
          <a:ext cx="921027" cy="422411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108</xdr:row>
      <xdr:rowOff>161925</xdr:rowOff>
    </xdr:from>
    <xdr:to>
      <xdr:col>8</xdr:col>
      <xdr:colOff>180974</xdr:colOff>
      <xdr:row>110</xdr:row>
      <xdr:rowOff>57150</xdr:rowOff>
    </xdr:to>
    <xdr:pic>
      <xdr:nvPicPr>
        <xdr:cNvPr id="8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742208" y="15459903"/>
          <a:ext cx="474592" cy="325921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422413</xdr:colOff>
      <xdr:row>117</xdr:row>
      <xdr:rowOff>173934</xdr:rowOff>
    </xdr:from>
    <xdr:to>
      <xdr:col>9</xdr:col>
      <xdr:colOff>455544</xdr:colOff>
      <xdr:row>124</xdr:row>
      <xdr:rowOff>45968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 bwMode="auto">
        <a:xfrm>
          <a:off x="4199283" y="23000804"/>
          <a:ext cx="2136913" cy="12055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458442</xdr:colOff>
      <xdr:row>117</xdr:row>
      <xdr:rowOff>133350</xdr:rowOff>
    </xdr:from>
    <xdr:to>
      <xdr:col>2</xdr:col>
      <xdr:colOff>86967</xdr:colOff>
      <xdr:row>119</xdr:row>
      <xdr:rowOff>76200</xdr:rowOff>
    </xdr:to>
    <xdr:pic>
      <xdr:nvPicPr>
        <xdr:cNvPr id="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8442" y="17791872"/>
          <a:ext cx="241438" cy="33213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455545</xdr:colOff>
      <xdr:row>120</xdr:row>
      <xdr:rowOff>49695</xdr:rowOff>
    </xdr:from>
    <xdr:to>
      <xdr:col>3</xdr:col>
      <xdr:colOff>57978</xdr:colOff>
      <xdr:row>122</xdr:row>
      <xdr:rowOff>146188</xdr:rowOff>
    </xdr:to>
    <xdr:pic>
      <xdr:nvPicPr>
        <xdr:cNvPr id="1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5545" y="23448065"/>
          <a:ext cx="1441172" cy="477493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455543</xdr:colOff>
      <xdr:row>122</xdr:row>
      <xdr:rowOff>182218</xdr:rowOff>
    </xdr:from>
    <xdr:to>
      <xdr:col>3</xdr:col>
      <xdr:colOff>571499</xdr:colOff>
      <xdr:row>124</xdr:row>
      <xdr:rowOff>67918</xdr:rowOff>
    </xdr:to>
    <xdr:pic>
      <xdr:nvPicPr>
        <xdr:cNvPr id="76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5543" y="23961588"/>
          <a:ext cx="195469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455544</xdr:colOff>
      <xdr:row>124</xdr:row>
      <xdr:rowOff>173935</xdr:rowOff>
    </xdr:from>
    <xdr:to>
      <xdr:col>2</xdr:col>
      <xdr:colOff>578956</xdr:colOff>
      <xdr:row>126</xdr:row>
      <xdr:rowOff>43898</xdr:rowOff>
    </xdr:to>
    <xdr:pic>
      <xdr:nvPicPr>
        <xdr:cNvPr id="7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55544" y="24334305"/>
          <a:ext cx="1349238" cy="250963"/>
        </a:xfrm>
        <a:prstGeom prst="rect">
          <a:avLst/>
        </a:prstGeom>
        <a:noFill/>
      </xdr:spPr>
    </xdr:pic>
    <xdr:clientData/>
  </xdr:twoCellAnchor>
  <xdr:twoCellAnchor>
    <xdr:from>
      <xdr:col>0</xdr:col>
      <xdr:colOff>496957</xdr:colOff>
      <xdr:row>126</xdr:row>
      <xdr:rowOff>115957</xdr:rowOff>
    </xdr:from>
    <xdr:to>
      <xdr:col>4</xdr:col>
      <xdr:colOff>646043</xdr:colOff>
      <xdr:row>128</xdr:row>
      <xdr:rowOff>182217</xdr:rowOff>
    </xdr:to>
    <xdr:pic>
      <xdr:nvPicPr>
        <xdr:cNvPr id="1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6957" y="24657327"/>
          <a:ext cx="2600738" cy="496955"/>
        </a:xfrm>
        <a:prstGeom prst="rect">
          <a:avLst/>
        </a:prstGeom>
        <a:noFill/>
      </xdr:spPr>
    </xdr:pic>
    <xdr:clientData/>
  </xdr:twoCellAnchor>
  <xdr:twoCellAnchor>
    <xdr:from>
      <xdr:col>6</xdr:col>
      <xdr:colOff>430696</xdr:colOff>
      <xdr:row>126</xdr:row>
      <xdr:rowOff>33130</xdr:rowOff>
    </xdr:from>
    <xdr:to>
      <xdr:col>6</xdr:col>
      <xdr:colOff>655568</xdr:colOff>
      <xdr:row>129</xdr:row>
      <xdr:rowOff>25676</xdr:rowOff>
    </xdr:to>
    <xdr:pic>
      <xdr:nvPicPr>
        <xdr:cNvPr id="79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207566" y="24574500"/>
          <a:ext cx="224872" cy="564046"/>
        </a:xfrm>
        <a:prstGeom prst="rect">
          <a:avLst/>
        </a:prstGeom>
        <a:noFill/>
      </xdr:spPr>
    </xdr:pic>
    <xdr:clientData/>
  </xdr:twoCellAnchor>
  <xdr:twoCellAnchor>
    <xdr:from>
      <xdr:col>6</xdr:col>
      <xdr:colOff>646043</xdr:colOff>
      <xdr:row>126</xdr:row>
      <xdr:rowOff>91110</xdr:rowOff>
    </xdr:from>
    <xdr:to>
      <xdr:col>7</xdr:col>
      <xdr:colOff>33129</xdr:colOff>
      <xdr:row>128</xdr:row>
      <xdr:rowOff>177638</xdr:rowOff>
    </xdr:to>
    <xdr:pic>
      <xdr:nvPicPr>
        <xdr:cNvPr id="80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22913" y="24632480"/>
          <a:ext cx="124238" cy="467528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190500</xdr:colOff>
      <xdr:row>126</xdr:row>
      <xdr:rowOff>140804</xdr:rowOff>
    </xdr:from>
    <xdr:to>
      <xdr:col>8</xdr:col>
      <xdr:colOff>628649</xdr:colOff>
      <xdr:row>128</xdr:row>
      <xdr:rowOff>45555</xdr:rowOff>
    </xdr:to>
    <xdr:pic>
      <xdr:nvPicPr>
        <xdr:cNvPr id="8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350565" y="24682174"/>
          <a:ext cx="438149" cy="335446"/>
        </a:xfrm>
        <a:prstGeom prst="rect">
          <a:avLst/>
        </a:prstGeom>
        <a:noFill/>
      </xdr:spPr>
    </xdr:pic>
    <xdr:clientData/>
  </xdr:twoCellAnchor>
  <xdr:twoCellAnchor>
    <xdr:from>
      <xdr:col>4</xdr:col>
      <xdr:colOff>41414</xdr:colOff>
      <xdr:row>110</xdr:row>
      <xdr:rowOff>165652</xdr:rowOff>
    </xdr:from>
    <xdr:to>
      <xdr:col>5</xdr:col>
      <xdr:colOff>604630</xdr:colOff>
      <xdr:row>112</xdr:row>
      <xdr:rowOff>182217</xdr:rowOff>
    </xdr:to>
    <xdr:pic>
      <xdr:nvPicPr>
        <xdr:cNvPr id="1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93066" y="21932348"/>
          <a:ext cx="1275521" cy="455543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433595</xdr:colOff>
      <xdr:row>131</xdr:row>
      <xdr:rowOff>125068</xdr:rowOff>
    </xdr:from>
    <xdr:to>
      <xdr:col>1</xdr:col>
      <xdr:colOff>62120</xdr:colOff>
      <xdr:row>133</xdr:row>
      <xdr:rowOff>67918</xdr:rowOff>
    </xdr:to>
    <xdr:pic>
      <xdr:nvPicPr>
        <xdr:cNvPr id="9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46508" y="26157307"/>
          <a:ext cx="241438" cy="3238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554934</xdr:colOff>
      <xdr:row>131</xdr:row>
      <xdr:rowOff>16565</xdr:rowOff>
    </xdr:from>
    <xdr:to>
      <xdr:col>3</xdr:col>
      <xdr:colOff>166893</xdr:colOff>
      <xdr:row>134</xdr:row>
      <xdr:rowOff>58806</xdr:rowOff>
    </xdr:to>
    <xdr:pic>
      <xdr:nvPicPr>
        <xdr:cNvPr id="9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80760" y="26048804"/>
          <a:ext cx="224872" cy="613741"/>
        </a:xfrm>
        <a:prstGeom prst="rect">
          <a:avLst/>
        </a:prstGeom>
        <a:noFill/>
      </xdr:spPr>
    </xdr:pic>
    <xdr:clientData/>
  </xdr:twoCellAnchor>
  <xdr:twoCellAnchor>
    <xdr:from>
      <xdr:col>3</xdr:col>
      <xdr:colOff>505238</xdr:colOff>
      <xdr:row>131</xdr:row>
      <xdr:rowOff>41413</xdr:rowOff>
    </xdr:from>
    <xdr:to>
      <xdr:col>4</xdr:col>
      <xdr:colOff>44725</xdr:colOff>
      <xdr:row>134</xdr:row>
      <xdr:rowOff>62118</xdr:rowOff>
    </xdr:to>
    <xdr:pic>
      <xdr:nvPicPr>
        <xdr:cNvPr id="9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343977" y="26073652"/>
          <a:ext cx="152400" cy="592205"/>
        </a:xfrm>
        <a:prstGeom prst="rect">
          <a:avLst/>
        </a:prstGeom>
        <a:noFill/>
      </xdr:spPr>
    </xdr:pic>
    <xdr:clientData/>
  </xdr:twoCellAnchor>
  <xdr:twoCellAnchor>
    <xdr:from>
      <xdr:col>1</xdr:col>
      <xdr:colOff>538369</xdr:colOff>
      <xdr:row>131</xdr:row>
      <xdr:rowOff>132522</xdr:rowOff>
    </xdr:from>
    <xdr:to>
      <xdr:col>2</xdr:col>
      <xdr:colOff>39036</xdr:colOff>
      <xdr:row>133</xdr:row>
      <xdr:rowOff>95250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51282" y="26164761"/>
          <a:ext cx="113580" cy="343728"/>
        </a:xfrm>
        <a:prstGeom prst="rect">
          <a:avLst/>
        </a:prstGeom>
        <a:noFill/>
      </xdr:spPr>
    </xdr:pic>
    <xdr:clientData/>
  </xdr:twoCellAnchor>
  <xdr:twoCellAnchor>
    <xdr:from>
      <xdr:col>1</xdr:col>
      <xdr:colOff>513522</xdr:colOff>
      <xdr:row>137</xdr:row>
      <xdr:rowOff>99392</xdr:rowOff>
    </xdr:from>
    <xdr:to>
      <xdr:col>2</xdr:col>
      <xdr:colOff>66261</xdr:colOff>
      <xdr:row>139</xdr:row>
      <xdr:rowOff>95250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26435" y="27274631"/>
          <a:ext cx="165652" cy="376858"/>
        </a:xfrm>
        <a:prstGeom prst="rect">
          <a:avLst/>
        </a:prstGeom>
        <a:noFill/>
      </xdr:spPr>
    </xdr:pic>
    <xdr:clientData/>
  </xdr:twoCellAnchor>
  <xdr:twoCellAnchor>
    <xdr:from>
      <xdr:col>2</xdr:col>
      <xdr:colOff>521805</xdr:colOff>
      <xdr:row>137</xdr:row>
      <xdr:rowOff>132522</xdr:rowOff>
    </xdr:from>
    <xdr:to>
      <xdr:col>3</xdr:col>
      <xdr:colOff>115957</xdr:colOff>
      <xdr:row>139</xdr:row>
      <xdr:rowOff>95250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747631" y="27307761"/>
          <a:ext cx="207065" cy="343728"/>
        </a:xfrm>
        <a:prstGeom prst="rect">
          <a:avLst/>
        </a:prstGeom>
        <a:noFill/>
      </xdr:spPr>
    </xdr:pic>
    <xdr:clientData/>
  </xdr:twoCellAnchor>
  <xdr:twoCellAnchor>
    <xdr:from>
      <xdr:col>4</xdr:col>
      <xdr:colOff>405849</xdr:colOff>
      <xdr:row>137</xdr:row>
      <xdr:rowOff>41413</xdr:rowOff>
    </xdr:from>
    <xdr:to>
      <xdr:col>4</xdr:col>
      <xdr:colOff>630721</xdr:colOff>
      <xdr:row>140</xdr:row>
      <xdr:rowOff>33958</xdr:rowOff>
    </xdr:to>
    <xdr:pic>
      <xdr:nvPicPr>
        <xdr:cNvPr id="93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57501" y="27216652"/>
          <a:ext cx="224872" cy="613741"/>
        </a:xfrm>
        <a:prstGeom prst="rect">
          <a:avLst/>
        </a:prstGeom>
        <a:noFill/>
      </xdr:spPr>
    </xdr:pic>
    <xdr:clientData/>
  </xdr:twoCellAnchor>
  <xdr:twoCellAnchor>
    <xdr:from>
      <xdr:col>4</xdr:col>
      <xdr:colOff>670891</xdr:colOff>
      <xdr:row>138</xdr:row>
      <xdr:rowOff>33131</xdr:rowOff>
    </xdr:from>
    <xdr:to>
      <xdr:col>6</xdr:col>
      <xdr:colOff>720586</xdr:colOff>
      <xdr:row>139</xdr:row>
      <xdr:rowOff>79926</xdr:rowOff>
    </xdr:to>
    <xdr:pic>
      <xdr:nvPicPr>
        <xdr:cNvPr id="18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122543" y="27398870"/>
          <a:ext cx="1374913" cy="286991"/>
        </a:xfrm>
        <a:prstGeom prst="rect">
          <a:avLst/>
        </a:prstGeom>
        <a:noFill/>
      </xdr:spPr>
    </xdr:pic>
    <xdr:clientData/>
  </xdr:twoCellAnchor>
  <xdr:twoCellAnchor>
    <xdr:from>
      <xdr:col>0</xdr:col>
      <xdr:colOff>414131</xdr:colOff>
      <xdr:row>139</xdr:row>
      <xdr:rowOff>115956</xdr:rowOff>
    </xdr:from>
    <xdr:to>
      <xdr:col>1</xdr:col>
      <xdr:colOff>596348</xdr:colOff>
      <xdr:row>141</xdr:row>
      <xdr:rowOff>104775</xdr:rowOff>
    </xdr:to>
    <xdr:pic>
      <xdr:nvPicPr>
        <xdr:cNvPr id="104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4131" y="27721891"/>
          <a:ext cx="795130" cy="369819"/>
        </a:xfrm>
        <a:prstGeom prst="rect">
          <a:avLst/>
        </a:prstGeom>
        <a:noFill/>
      </xdr:spPr>
    </xdr:pic>
    <xdr:clientData/>
  </xdr:twoCellAnchor>
  <xdr:twoCellAnchor>
    <xdr:from>
      <xdr:col>3</xdr:col>
      <xdr:colOff>57980</xdr:colOff>
      <xdr:row>140</xdr:row>
      <xdr:rowOff>24848</xdr:rowOff>
    </xdr:from>
    <xdr:to>
      <xdr:col>3</xdr:col>
      <xdr:colOff>604631</xdr:colOff>
      <xdr:row>141</xdr:row>
      <xdr:rowOff>16566</xdr:rowOff>
    </xdr:to>
    <xdr:pic>
      <xdr:nvPicPr>
        <xdr:cNvPr id="20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96719" y="27821283"/>
          <a:ext cx="546651" cy="231913"/>
        </a:xfrm>
        <a:prstGeom prst="rect">
          <a:avLst/>
        </a:prstGeom>
        <a:noFill/>
      </xdr:spPr>
    </xdr:pic>
    <xdr:clientData/>
  </xdr:twoCellAnchor>
  <xdr:twoCellAnchor>
    <xdr:from>
      <xdr:col>0</xdr:col>
      <xdr:colOff>433595</xdr:colOff>
      <xdr:row>144</xdr:row>
      <xdr:rowOff>125068</xdr:rowOff>
    </xdr:from>
    <xdr:to>
      <xdr:col>1</xdr:col>
      <xdr:colOff>62120</xdr:colOff>
      <xdr:row>146</xdr:row>
      <xdr:rowOff>67918</xdr:rowOff>
    </xdr:to>
    <xdr:pic>
      <xdr:nvPicPr>
        <xdr:cNvPr id="9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33595" y="26157307"/>
          <a:ext cx="241438" cy="3238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538369</xdr:colOff>
      <xdr:row>144</xdr:row>
      <xdr:rowOff>132522</xdr:rowOff>
    </xdr:from>
    <xdr:to>
      <xdr:col>2</xdr:col>
      <xdr:colOff>39036</xdr:colOff>
      <xdr:row>146</xdr:row>
      <xdr:rowOff>95250</xdr:rowOff>
    </xdr:to>
    <xdr:pic>
      <xdr:nvPicPr>
        <xdr:cNvPr id="97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51282" y="26164761"/>
          <a:ext cx="113580" cy="343728"/>
        </a:xfrm>
        <a:prstGeom prst="rect">
          <a:avLst/>
        </a:prstGeom>
        <a:noFill/>
      </xdr:spPr>
    </xdr:pic>
    <xdr:clientData/>
  </xdr:twoCellAnchor>
  <xdr:twoCellAnchor>
    <xdr:from>
      <xdr:col>3</xdr:col>
      <xdr:colOff>8283</xdr:colOff>
      <xdr:row>144</xdr:row>
      <xdr:rowOff>157370</xdr:rowOff>
    </xdr:from>
    <xdr:to>
      <xdr:col>3</xdr:col>
      <xdr:colOff>99391</xdr:colOff>
      <xdr:row>146</xdr:row>
      <xdr:rowOff>52594</xdr:rowOff>
    </xdr:to>
    <xdr:pic>
      <xdr:nvPicPr>
        <xdr:cNvPr id="99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847022" y="28765500"/>
          <a:ext cx="91108" cy="3259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447262</xdr:colOff>
      <xdr:row>148</xdr:row>
      <xdr:rowOff>49695</xdr:rowOff>
    </xdr:from>
    <xdr:to>
      <xdr:col>3</xdr:col>
      <xdr:colOff>57979</xdr:colOff>
      <xdr:row>150</xdr:row>
      <xdr:rowOff>132523</xdr:rowOff>
    </xdr:to>
    <xdr:pic>
      <xdr:nvPicPr>
        <xdr:cNvPr id="24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47262" y="29469521"/>
          <a:ext cx="1449456" cy="463828"/>
        </a:xfrm>
        <a:prstGeom prst="rect">
          <a:avLst/>
        </a:prstGeom>
        <a:noFill/>
      </xdr:spPr>
    </xdr:pic>
    <xdr:clientData/>
  </xdr:twoCellAnchor>
  <xdr:twoCellAnchor>
    <xdr:from>
      <xdr:col>1</xdr:col>
      <xdr:colOff>579784</xdr:colOff>
      <xdr:row>151</xdr:row>
      <xdr:rowOff>16564</xdr:rowOff>
    </xdr:from>
    <xdr:to>
      <xdr:col>2</xdr:col>
      <xdr:colOff>217834</xdr:colOff>
      <xdr:row>154</xdr:row>
      <xdr:rowOff>9110</xdr:rowOff>
    </xdr:to>
    <xdr:pic>
      <xdr:nvPicPr>
        <xdr:cNvPr id="101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92697" y="30007890"/>
          <a:ext cx="250963" cy="564046"/>
        </a:xfrm>
        <a:prstGeom prst="rect">
          <a:avLst/>
        </a:prstGeom>
        <a:noFill/>
      </xdr:spPr>
    </xdr:pic>
    <xdr:clientData/>
  </xdr:twoCellAnchor>
  <xdr:twoCellAnchor>
    <xdr:from>
      <xdr:col>0</xdr:col>
      <xdr:colOff>505239</xdr:colOff>
      <xdr:row>151</xdr:row>
      <xdr:rowOff>66263</xdr:rowOff>
    </xdr:from>
    <xdr:to>
      <xdr:col>1</xdr:col>
      <xdr:colOff>16565</xdr:colOff>
      <xdr:row>153</xdr:row>
      <xdr:rowOff>158855</xdr:rowOff>
    </xdr:to>
    <xdr:pic>
      <xdr:nvPicPr>
        <xdr:cNvPr id="10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5239" y="30057589"/>
          <a:ext cx="124239" cy="523288"/>
        </a:xfrm>
        <a:prstGeom prst="rect">
          <a:avLst/>
        </a:prstGeom>
        <a:noFill/>
      </xdr:spPr>
    </xdr:pic>
    <xdr:clientData/>
  </xdr:twoCellAnchor>
  <xdr:twoCellAnchor>
    <xdr:from>
      <xdr:col>2</xdr:col>
      <xdr:colOff>182218</xdr:colOff>
      <xdr:row>151</xdr:row>
      <xdr:rowOff>124239</xdr:rowOff>
    </xdr:from>
    <xdr:to>
      <xdr:col>3</xdr:col>
      <xdr:colOff>7454</xdr:colOff>
      <xdr:row>153</xdr:row>
      <xdr:rowOff>78685</xdr:rowOff>
    </xdr:to>
    <xdr:pic>
      <xdr:nvPicPr>
        <xdr:cNvPr id="103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08044" y="30115565"/>
          <a:ext cx="438149" cy="335446"/>
        </a:xfrm>
        <a:prstGeom prst="rect">
          <a:avLst/>
        </a:prstGeom>
        <a:noFill/>
      </xdr:spPr>
    </xdr:pic>
    <xdr:clientData/>
  </xdr:twoCellAnchor>
  <xdr:twoCellAnchor>
    <xdr:from>
      <xdr:col>4</xdr:col>
      <xdr:colOff>389282</xdr:colOff>
      <xdr:row>151</xdr:row>
      <xdr:rowOff>57979</xdr:rowOff>
    </xdr:from>
    <xdr:to>
      <xdr:col>5</xdr:col>
      <xdr:colOff>592620</xdr:colOff>
      <xdr:row>153</xdr:row>
      <xdr:rowOff>107676</xdr:rowOff>
    </xdr:to>
    <xdr:pic>
      <xdr:nvPicPr>
        <xdr:cNvPr id="10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840934" y="30049305"/>
          <a:ext cx="915643" cy="430697"/>
        </a:xfrm>
        <a:prstGeom prst="rect">
          <a:avLst/>
        </a:prstGeom>
        <a:noFill/>
      </xdr:spPr>
    </xdr:pic>
    <xdr:clientData/>
  </xdr:twoCellAnchor>
  <xdr:twoCellAnchor>
    <xdr:from>
      <xdr:col>4</xdr:col>
      <xdr:colOff>298175</xdr:colOff>
      <xdr:row>148</xdr:row>
      <xdr:rowOff>173933</xdr:rowOff>
    </xdr:from>
    <xdr:to>
      <xdr:col>6</xdr:col>
      <xdr:colOff>57978</xdr:colOff>
      <xdr:row>150</xdr:row>
      <xdr:rowOff>62118</xdr:rowOff>
    </xdr:to>
    <xdr:pic>
      <xdr:nvPicPr>
        <xdr:cNvPr id="27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749827" y="29593759"/>
          <a:ext cx="1085021" cy="269185"/>
        </a:xfrm>
        <a:prstGeom prst="rect">
          <a:avLst/>
        </a:prstGeom>
        <a:noFill/>
      </xdr:spPr>
    </xdr:pic>
    <xdr:clientData/>
  </xdr:twoCellAnchor>
  <xdr:twoCellAnchor>
    <xdr:from>
      <xdr:col>6</xdr:col>
      <xdr:colOff>389282</xdr:colOff>
      <xdr:row>151</xdr:row>
      <xdr:rowOff>115957</xdr:rowOff>
    </xdr:from>
    <xdr:to>
      <xdr:col>6</xdr:col>
      <xdr:colOff>614154</xdr:colOff>
      <xdr:row>154</xdr:row>
      <xdr:rowOff>1</xdr:rowOff>
    </xdr:to>
    <xdr:pic>
      <xdr:nvPicPr>
        <xdr:cNvPr id="107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166152" y="30107283"/>
          <a:ext cx="224872" cy="505240"/>
        </a:xfrm>
        <a:prstGeom prst="rect">
          <a:avLst/>
        </a:prstGeom>
        <a:noFill/>
      </xdr:spPr>
    </xdr:pic>
    <xdr:clientData/>
  </xdr:twoCellAnchor>
  <xdr:twoCellAnchor>
    <xdr:from>
      <xdr:col>7</xdr:col>
      <xdr:colOff>430694</xdr:colOff>
      <xdr:row>151</xdr:row>
      <xdr:rowOff>149087</xdr:rowOff>
    </xdr:from>
    <xdr:to>
      <xdr:col>8</xdr:col>
      <xdr:colOff>259243</xdr:colOff>
      <xdr:row>153</xdr:row>
      <xdr:rowOff>85725</xdr:rowOff>
    </xdr:to>
    <xdr:pic>
      <xdr:nvPicPr>
        <xdr:cNvPr id="10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944716" y="30140413"/>
          <a:ext cx="474592" cy="36733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8"/>
  <sheetViews>
    <sheetView tabSelected="1" topLeftCell="A70" zoomScale="115" zoomScaleNormal="115" workbookViewId="0">
      <selection activeCell="F73" sqref="F73"/>
    </sheetView>
  </sheetViews>
  <sheetFormatPr defaultRowHeight="15"/>
  <cols>
    <col min="5" max="5" width="10.7109375" bestFit="1" customWidth="1"/>
    <col min="7" max="7" width="11" customWidth="1"/>
    <col min="8" max="8" width="9.7109375" bestFit="1" customWidth="1"/>
    <col min="9" max="9" width="10.85546875" bestFit="1" customWidth="1"/>
  </cols>
  <sheetData>
    <row r="1" spans="1:1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6"/>
    </row>
    <row r="2" spans="1:11">
      <c r="A2" s="41"/>
      <c r="B2" s="41"/>
      <c r="C2" s="41"/>
      <c r="D2" s="41"/>
      <c r="E2" s="41"/>
      <c r="F2" s="41"/>
      <c r="G2" s="41"/>
      <c r="H2" s="41"/>
      <c r="I2" s="41"/>
      <c r="J2" s="41"/>
      <c r="K2" s="6"/>
    </row>
    <row r="3" spans="1:11">
      <c r="A3" s="41"/>
      <c r="B3" s="41"/>
      <c r="C3" s="41"/>
      <c r="D3" s="41"/>
      <c r="E3" s="41"/>
      <c r="F3" s="41"/>
      <c r="G3" s="41"/>
      <c r="H3" s="41"/>
      <c r="I3" s="41"/>
      <c r="J3" s="41"/>
      <c r="K3" s="6"/>
    </row>
    <row r="4" spans="1:11">
      <c r="A4" s="41"/>
      <c r="B4" s="41"/>
      <c r="C4" s="41"/>
      <c r="D4" s="41"/>
      <c r="E4" s="41"/>
      <c r="F4" s="41"/>
      <c r="G4" s="41"/>
      <c r="H4" s="41"/>
      <c r="I4" s="41"/>
      <c r="J4" s="41"/>
      <c r="K4" s="6"/>
    </row>
    <row r="5" spans="1:11">
      <c r="A5" s="41"/>
      <c r="B5" s="41"/>
      <c r="C5" s="41"/>
      <c r="D5" s="41"/>
      <c r="E5" s="41"/>
      <c r="F5" s="41"/>
      <c r="G5" s="41"/>
      <c r="H5" s="41"/>
      <c r="I5" s="41"/>
      <c r="J5" s="41"/>
      <c r="K5" s="6"/>
    </row>
    <row r="6" spans="1:11">
      <c r="A6" s="41"/>
      <c r="B6" s="41"/>
      <c r="C6" s="41"/>
      <c r="D6" s="41"/>
      <c r="E6" s="41"/>
      <c r="F6" s="41"/>
      <c r="G6" s="41"/>
      <c r="H6" s="41"/>
      <c r="I6" s="41"/>
      <c r="J6" s="41"/>
      <c r="K6" s="6"/>
    </row>
    <row r="7" spans="1:11" ht="18.75">
      <c r="A7" s="6"/>
      <c r="B7" s="14" t="s">
        <v>1</v>
      </c>
      <c r="C7" s="1">
        <v>656</v>
      </c>
      <c r="D7" s="6" t="s">
        <v>7</v>
      </c>
      <c r="E7" s="15" t="s">
        <v>18</v>
      </c>
      <c r="F7" s="1">
        <v>3400</v>
      </c>
      <c r="G7" s="6" t="s">
        <v>6</v>
      </c>
      <c r="H7" s="15" t="s">
        <v>22</v>
      </c>
      <c r="I7" s="1">
        <v>0</v>
      </c>
      <c r="J7" s="6" t="s">
        <v>6</v>
      </c>
      <c r="K7" s="6"/>
    </row>
    <row r="8" spans="1:11" ht="18.75">
      <c r="A8" s="6"/>
      <c r="B8" s="14" t="s">
        <v>2</v>
      </c>
      <c r="C8" s="1">
        <v>175</v>
      </c>
      <c r="D8" s="6" t="s">
        <v>7</v>
      </c>
      <c r="E8" s="15" t="s">
        <v>19</v>
      </c>
      <c r="F8" s="1">
        <v>0</v>
      </c>
      <c r="G8" s="6" t="s">
        <v>6</v>
      </c>
      <c r="H8" s="6"/>
      <c r="I8" s="6"/>
      <c r="J8" s="6"/>
      <c r="K8" s="6"/>
    </row>
    <row r="9" spans="1:11" ht="18.75">
      <c r="A9" s="6"/>
      <c r="B9" s="14" t="s">
        <v>3</v>
      </c>
      <c r="C9" s="1">
        <v>25</v>
      </c>
      <c r="D9" s="6" t="s">
        <v>5</v>
      </c>
      <c r="E9" s="15" t="s">
        <v>20</v>
      </c>
      <c r="F9" s="1">
        <v>0</v>
      </c>
      <c r="G9" s="6" t="s">
        <v>6</v>
      </c>
      <c r="H9" s="6"/>
      <c r="I9" s="6"/>
      <c r="J9" s="6"/>
      <c r="K9" s="6"/>
    </row>
    <row r="10" spans="1:11" ht="18.75">
      <c r="A10" s="6"/>
      <c r="B10" s="14" t="s">
        <v>4</v>
      </c>
      <c r="C10" s="1">
        <v>300</v>
      </c>
      <c r="D10" s="6" t="s">
        <v>5</v>
      </c>
      <c r="E10" s="15" t="s">
        <v>21</v>
      </c>
      <c r="F10" s="1">
        <v>0</v>
      </c>
      <c r="G10" s="6" t="s">
        <v>6</v>
      </c>
      <c r="H10" s="6"/>
      <c r="I10" s="6"/>
      <c r="J10" s="6"/>
      <c r="K10" s="6"/>
    </row>
    <row r="11" spans="1:11">
      <c r="A11" s="6"/>
      <c r="B11" s="6"/>
      <c r="C11" s="6"/>
      <c r="D11" s="6"/>
      <c r="E11" s="16"/>
      <c r="F11" s="6"/>
      <c r="G11" s="6"/>
      <c r="H11" s="6"/>
      <c r="I11" s="6"/>
      <c r="J11" s="6"/>
      <c r="K11" s="6"/>
    </row>
    <row r="12" spans="1:1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/>
      <c r="B13" s="6"/>
      <c r="C13" s="6"/>
      <c r="D13" s="6"/>
      <c r="E13" s="6">
        <f>((1.25*C7)+(1.5*C8))*0.00001</f>
        <v>1.0825000000000001E-2</v>
      </c>
      <c r="F13" s="17" t="s">
        <v>8</v>
      </c>
      <c r="G13" s="6"/>
      <c r="H13" s="6"/>
      <c r="I13" s="6"/>
      <c r="J13" s="6"/>
      <c r="K13" s="6"/>
    </row>
    <row r="14" spans="1:1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>
      <c r="A15" s="6"/>
      <c r="B15" s="6"/>
      <c r="C15" s="6"/>
      <c r="D15" s="6">
        <f>500*E13</f>
        <v>5.4125000000000005</v>
      </c>
      <c r="E15" s="17" t="s">
        <v>9</v>
      </c>
      <c r="F15" s="6"/>
      <c r="G15" s="6"/>
      <c r="H15" s="6"/>
      <c r="I15" s="6"/>
      <c r="J15" s="6"/>
      <c r="K15" s="6"/>
    </row>
    <row r="16" spans="1:11" ht="15" customHeight="1">
      <c r="A16" s="6"/>
      <c r="B16" s="6"/>
      <c r="C16" s="6"/>
      <c r="D16" s="6"/>
      <c r="E16" s="6"/>
      <c r="F16" s="6"/>
      <c r="G16" s="42" t="s">
        <v>23</v>
      </c>
      <c r="H16" s="42"/>
      <c r="I16" s="42"/>
      <c r="J16" s="42"/>
      <c r="K16" s="6"/>
    </row>
    <row r="17" spans="1:11" ht="15" customHeight="1">
      <c r="A17" s="6"/>
      <c r="B17" s="6"/>
      <c r="C17" s="6"/>
      <c r="D17" s="6"/>
      <c r="E17" s="6"/>
      <c r="F17" s="6"/>
      <c r="G17" s="42"/>
      <c r="H17" s="42"/>
      <c r="I17" s="42"/>
      <c r="J17" s="42"/>
      <c r="K17" s="6"/>
    </row>
    <row r="18" spans="1:11">
      <c r="A18" s="6"/>
      <c r="B18" s="6"/>
      <c r="C18" s="6"/>
      <c r="D18" s="6"/>
      <c r="E18" s="6"/>
      <c r="F18" s="6"/>
      <c r="G18" s="42"/>
      <c r="H18" s="42"/>
      <c r="I18" s="42"/>
      <c r="J18" s="42"/>
      <c r="K18" s="6"/>
    </row>
    <row r="19" spans="1:11">
      <c r="A19" s="6"/>
      <c r="B19" s="6"/>
      <c r="C19" s="6"/>
      <c r="D19" s="6"/>
      <c r="E19" s="6"/>
      <c r="F19" s="6"/>
      <c r="G19" s="42"/>
      <c r="H19" s="42"/>
      <c r="I19" s="42"/>
      <c r="J19" s="42"/>
      <c r="K19" s="6"/>
    </row>
    <row r="20" spans="1:11">
      <c r="A20" s="6"/>
      <c r="B20" s="6"/>
      <c r="C20" s="6"/>
      <c r="D20" s="6"/>
      <c r="E20" s="6"/>
      <c r="F20" s="6"/>
      <c r="G20" s="6"/>
      <c r="H20" s="43" t="s">
        <v>10</v>
      </c>
      <c r="I20" s="43"/>
      <c r="J20" s="6"/>
      <c r="K20" s="6"/>
    </row>
    <row r="21" spans="1:11">
      <c r="A21" s="6"/>
      <c r="B21" s="6"/>
      <c r="C21" s="6"/>
      <c r="D21" s="6"/>
      <c r="E21" s="6"/>
      <c r="F21" s="6"/>
      <c r="G21" s="6"/>
      <c r="H21" s="43"/>
      <c r="I21" s="43"/>
      <c r="J21" s="6"/>
      <c r="K21" s="6"/>
    </row>
    <row r="22" spans="1:1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>
      <c r="A24" s="6"/>
      <c r="B24" s="6"/>
      <c r="C24" s="6"/>
      <c r="D24" s="6"/>
      <c r="E24" s="6"/>
      <c r="F24" s="6"/>
      <c r="G24" s="6"/>
      <c r="H24" s="44" t="s">
        <v>11</v>
      </c>
      <c r="I24" s="44"/>
      <c r="J24" s="6"/>
      <c r="K24" s="6"/>
    </row>
    <row r="25" spans="1:11" ht="15.75" customHeight="1">
      <c r="A25" s="6"/>
      <c r="B25" s="6"/>
      <c r="C25" s="6"/>
      <c r="D25" s="6"/>
      <c r="E25" s="6"/>
      <c r="F25" s="6"/>
      <c r="G25" s="6"/>
      <c r="H25" s="44"/>
      <c r="I25" s="44"/>
      <c r="J25" s="6"/>
      <c r="K25" s="6"/>
    </row>
    <row r="26" spans="1:1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15" customHeight="1">
      <c r="B28" s="34" t="s">
        <v>12</v>
      </c>
      <c r="C28" s="45">
        <v>1</v>
      </c>
      <c r="D28" s="6"/>
      <c r="E28" s="6"/>
      <c r="F28" s="6"/>
      <c r="G28" s="6"/>
      <c r="H28" s="6"/>
      <c r="I28" s="6"/>
      <c r="J28" s="6"/>
      <c r="K28" s="6"/>
    </row>
    <row r="29" spans="1:11" ht="15.75" customHeight="1">
      <c r="A29" s="6"/>
      <c r="B29" s="34"/>
      <c r="C29" s="45"/>
      <c r="D29" s="6"/>
      <c r="E29" s="6"/>
      <c r="F29" s="6"/>
      <c r="G29" s="6"/>
      <c r="H29" s="6"/>
      <c r="I29" s="6"/>
      <c r="J29" s="18"/>
      <c r="K29" s="6"/>
    </row>
    <row r="30" spans="1:11" ht="23.25" customHeight="1">
      <c r="A30" s="6"/>
      <c r="B30" s="6"/>
      <c r="C30" s="27"/>
      <c r="D30" s="28"/>
      <c r="E30" s="6"/>
      <c r="F30" s="6"/>
      <c r="G30" s="6"/>
      <c r="H30" s="6"/>
      <c r="I30" s="6"/>
      <c r="J30" s="18"/>
      <c r="K30" s="6"/>
    </row>
    <row r="31" spans="1:11" ht="15" customHeight="1">
      <c r="A31" s="6"/>
      <c r="B31" s="6"/>
      <c r="C31" s="6"/>
      <c r="D31" s="6"/>
      <c r="E31" s="6"/>
      <c r="F31" s="19" t="s">
        <v>13</v>
      </c>
      <c r="G31" s="10">
        <f>(IF(C28=1,((-1/24)*D15*F7^2),IF(C28=2,((-1/24)*D15*F7^2),IF(C28=3,((-1/24)*D15*F7^2),IF(C28=4,((-1/24)*D15*F7^2),IF(C28=5,((-1/24)*D15*F7^2),IF(C28=6,((-1/24)*D15*F7^2),IF(C28=7,((-1/24)*D15*F7^2),""))))))))</f>
        <v>-2607020.8333333335</v>
      </c>
      <c r="H31" s="19" t="s">
        <v>17</v>
      </c>
      <c r="I31" s="6"/>
      <c r="J31" s="6"/>
      <c r="K31" s="6"/>
    </row>
    <row r="32" spans="1:11" ht="15" customHeight="1">
      <c r="A32" s="6"/>
      <c r="B32" s="6"/>
      <c r="C32" s="6"/>
      <c r="D32" s="6"/>
      <c r="E32" s="6"/>
      <c r="F32" s="19" t="s">
        <v>14</v>
      </c>
      <c r="G32" s="10">
        <f>IF(C28=1,((-1/24)*D15*F7^2),IF(C28=2,((-1/9)*D15*F7^2),IF(C28=3,((-1/10)*D15*F7^2),IF(C28=4,((-1/10)*D15*F7^2),IF(C28=5,((-1/10)*D15*F7^2),IF(C28=6,((-1/10)*D15*F7^2),IF(C28=7,((-1/10)*D15*F7^2),"")))))))</f>
        <v>-2607020.8333333335</v>
      </c>
      <c r="H32" s="19" t="s">
        <v>17</v>
      </c>
      <c r="I32" s="6"/>
      <c r="J32" s="6"/>
      <c r="K32" s="6"/>
    </row>
    <row r="33" spans="1:11" ht="15.75">
      <c r="A33" s="6"/>
      <c r="B33" s="6"/>
      <c r="C33" s="6"/>
      <c r="D33" s="6"/>
      <c r="E33" s="6"/>
      <c r="F33" s="19" t="s">
        <v>15</v>
      </c>
      <c r="G33" s="10">
        <f>IF(C28=1,((1/12)*D15*F7^2),IF(C28=2,((1/14)*D15*F7^2),IF(C28=3,((1/14)*D15*F7^2),IF(C28=4,((1/14)*D15*F7^2),IF(C28=5,((1/14)*D15*F7^2),IF(C28=6,((1/14)*D15*F7^2),IF(C28=7,((1/14)*D15*F7^2),"")))))))</f>
        <v>5214041.666666667</v>
      </c>
      <c r="H33" s="19" t="s">
        <v>17</v>
      </c>
      <c r="I33" s="6"/>
      <c r="J33" s="6"/>
      <c r="K33" s="6"/>
    </row>
    <row r="34" spans="1:11" ht="15.75">
      <c r="A34" s="6"/>
      <c r="B34" s="6"/>
      <c r="C34" s="6"/>
      <c r="D34" s="6"/>
      <c r="E34" s="6"/>
      <c r="F34" s="6"/>
      <c r="G34" s="6"/>
      <c r="H34" s="19"/>
      <c r="I34" s="10"/>
      <c r="J34" s="19"/>
      <c r="K34" s="6"/>
    </row>
    <row r="35" spans="1:11" ht="15.75" customHeight="1">
      <c r="A35" s="6"/>
      <c r="B35" s="6"/>
      <c r="C35" s="34"/>
      <c r="D35" s="35"/>
      <c r="E35" s="6"/>
      <c r="F35" s="19" t="s">
        <v>13</v>
      </c>
      <c r="G35" s="10" t="str">
        <f>IF(C28=1,"",IF(C28=2,((-1/24)*D15*F8^2),IF(C28=3,"",IF(C28=4,"",IF(C28=5,"",IF(C28=6,"",IF(C28=7,"","")))))))</f>
        <v/>
      </c>
      <c r="H35" s="19" t="s">
        <v>17</v>
      </c>
      <c r="I35" s="6"/>
      <c r="J35" s="6"/>
      <c r="K35" s="6"/>
    </row>
    <row r="36" spans="1:11" ht="15.75" customHeight="1">
      <c r="A36" s="6"/>
      <c r="B36" s="6"/>
      <c r="C36" s="34"/>
      <c r="D36" s="35"/>
      <c r="E36" s="6"/>
      <c r="F36" s="19" t="s">
        <v>14</v>
      </c>
      <c r="G36" s="10" t="str">
        <f>IF(C28=1,"",IF(C28=2,((-1/9)*D15*F8^2),IF(C28=3,((-1/10)*D15*F8^2),IF(C28=4,((-1/10)*D15*F8^2),IF(C28=5,((-1/10)*D15*F8^2),IF(C28=6,((-1/10)*D15*F8^2),IF(C28=7,((-1/10)*D15*F8^2),"")))))))</f>
        <v/>
      </c>
      <c r="H36" s="19" t="s">
        <v>17</v>
      </c>
      <c r="I36" s="6"/>
      <c r="J36" s="6"/>
      <c r="K36" s="6"/>
    </row>
    <row r="37" spans="1:11" ht="15.75">
      <c r="A37" s="6"/>
      <c r="B37" s="6"/>
      <c r="C37" s="6"/>
      <c r="D37" s="6"/>
      <c r="E37" s="6"/>
      <c r="F37" s="19" t="s">
        <v>15</v>
      </c>
      <c r="G37" s="10" t="str">
        <f>IF(C28=1,"",IF(C28=2,((1/14)*D15*F8^2),IF(C28=3,"",IF(C28=4,"",IF(C28=5,"",IF(C28=6,"",IF(C28=7,"","""")))))))</f>
        <v/>
      </c>
      <c r="H37" s="19" t="s">
        <v>17</v>
      </c>
      <c r="I37" s="6"/>
      <c r="J37" s="6"/>
      <c r="K37" s="6"/>
    </row>
    <row r="38" spans="1:11" ht="15.75">
      <c r="A38" s="6"/>
      <c r="B38" s="6"/>
      <c r="C38" s="6"/>
      <c r="D38" s="6"/>
      <c r="E38" s="6"/>
      <c r="F38" s="19" t="s">
        <v>16</v>
      </c>
      <c r="G38" s="10" t="str">
        <f>IF(C28=1,"",IF(C28=2,"",IF(C28=3,((1/16)*D15*F8^2),IF(C28=4,((1/16)*D15*F8^2),IF(C28=5,((1/16)*D15*F8^2),IF(C28=6,((1/16)*D15*F8^2),IF(C28=7,((1/16)*D15*F8^2),"")))))))</f>
        <v/>
      </c>
      <c r="H38" s="19" t="s">
        <v>17</v>
      </c>
      <c r="I38" s="6"/>
      <c r="J38" s="6"/>
      <c r="K38" s="6"/>
    </row>
    <row r="39" spans="1:11" ht="15.75">
      <c r="A39" s="6"/>
      <c r="B39" s="6"/>
      <c r="C39" s="6"/>
      <c r="D39" s="6"/>
      <c r="E39" s="6"/>
      <c r="F39" s="19"/>
      <c r="G39" s="10"/>
      <c r="H39" s="19"/>
      <c r="I39" s="6"/>
      <c r="J39" s="6"/>
      <c r="K39" s="6"/>
    </row>
    <row r="40" spans="1:11" ht="15.75">
      <c r="A40" s="6"/>
      <c r="B40" s="6"/>
      <c r="C40" s="6"/>
      <c r="D40" s="6"/>
      <c r="E40" s="6"/>
      <c r="F40" s="19" t="s">
        <v>13</v>
      </c>
      <c r="G40" s="10" t="str">
        <f>IF(C28=1,"",IF(C28=2,"",IF(C28=3,((-1/24)*D15*F9^2),IF(C28=4,"",IF(C28=5,"",IF(C28=6,"",IF(C28=7,"","")))))))</f>
        <v/>
      </c>
      <c r="H40" s="19" t="s">
        <v>17</v>
      </c>
      <c r="I40" s="6"/>
      <c r="J40" s="19"/>
      <c r="K40" s="6"/>
    </row>
    <row r="41" spans="1:11" ht="15.75" customHeight="1">
      <c r="A41" s="6"/>
      <c r="B41" s="6"/>
      <c r="C41" s="34"/>
      <c r="D41" s="35"/>
      <c r="E41" s="6"/>
      <c r="F41" s="19" t="s">
        <v>14</v>
      </c>
      <c r="G41" s="10" t="str">
        <f>IF(C28=1,"",IF(C28=2,"",IF(C28=3,((-1/10)*D15*F9^2),IF(C28=4,((-1/10)*D15*F9^2),IF(C28=5,((-1/10)*D15*F9^2),IF(C28=6,((-1/10)*D15*F9^2),IF(C28=7,((-1/10)*D15*F9^2),"")))))))</f>
        <v/>
      </c>
      <c r="H41" s="19" t="s">
        <v>17</v>
      </c>
      <c r="I41" s="6"/>
      <c r="J41" s="6"/>
      <c r="K41" s="6"/>
    </row>
    <row r="42" spans="1:11" ht="15.75" customHeight="1">
      <c r="A42" s="6"/>
      <c r="B42" s="6"/>
      <c r="C42" s="34"/>
      <c r="D42" s="35"/>
      <c r="E42" s="6"/>
      <c r="F42" s="19" t="s">
        <v>15</v>
      </c>
      <c r="G42" s="10" t="str">
        <f>IF(D41=1,"",IF(D41=2,"",IF(D41=3,((1/14)*D15*F9^2),IF(D41=4,"",IF(D41=5,"",IF(D41=6,"",IF(D41=7,"","")))))))</f>
        <v/>
      </c>
      <c r="H42" s="19" t="s">
        <v>17</v>
      </c>
      <c r="I42" s="6"/>
      <c r="J42" s="6"/>
      <c r="K42" s="6"/>
    </row>
    <row r="43" spans="1:11" ht="15.75">
      <c r="A43" s="6"/>
      <c r="B43" s="6"/>
      <c r="C43" s="6"/>
      <c r="D43" s="6"/>
      <c r="E43" s="6"/>
      <c r="F43" s="19" t="s">
        <v>16</v>
      </c>
      <c r="G43" s="10" t="str">
        <f>IF(29=1,"",IF(C28=2,"",IF(C28=3,"",IF(C28=4,((1/16)*D15*F9^2),IF(C28=5,((1/16)*D15*F9^2),IF(C28=6,((1/16)*D15*F9^2),IF(C28=7,((1/16)*D15*F9^2),"")))))))</f>
        <v/>
      </c>
      <c r="H43" s="19" t="s">
        <v>17</v>
      </c>
      <c r="I43" s="6"/>
      <c r="J43" s="6"/>
      <c r="K43" s="6"/>
    </row>
    <row r="44" spans="1:11">
      <c r="A44" s="6"/>
      <c r="B44" s="6"/>
      <c r="C44" s="6"/>
      <c r="D44" s="6"/>
      <c r="E44" s="6"/>
      <c r="F44" s="6"/>
      <c r="G44" s="6"/>
      <c r="I44" s="6"/>
      <c r="J44" s="6"/>
      <c r="K44" s="6"/>
    </row>
    <row r="45" spans="1:11" ht="15.75">
      <c r="A45" s="6"/>
      <c r="B45" s="6"/>
      <c r="C45" s="6"/>
      <c r="D45" s="6"/>
      <c r="E45" s="6"/>
      <c r="F45" s="6"/>
      <c r="G45" s="6"/>
      <c r="H45" s="19"/>
      <c r="I45" s="10"/>
      <c r="J45" s="19"/>
      <c r="K45" s="6"/>
    </row>
    <row r="46" spans="1:11" ht="15.75" customHeight="1">
      <c r="A46" s="6"/>
      <c r="B46" s="6"/>
      <c r="C46" s="34"/>
      <c r="D46" s="35"/>
      <c r="E46" s="6"/>
      <c r="F46" s="19" t="s">
        <v>13</v>
      </c>
      <c r="G46" s="10" t="str">
        <f>IF(C28=1,"",IF(C28=2,"",IF(C28=3,"",IF(C28=4,((-1/24)*D15*F10^2),IF(C28=5,"",IF(C28=6,"",IF(C28=7,"","")))))))</f>
        <v/>
      </c>
      <c r="H46" s="19" t="s">
        <v>17</v>
      </c>
      <c r="I46" s="6"/>
      <c r="J46" s="6"/>
      <c r="K46" s="6"/>
    </row>
    <row r="47" spans="1:11" ht="15.75" customHeight="1">
      <c r="A47" s="6"/>
      <c r="B47" s="6"/>
      <c r="C47" s="34"/>
      <c r="D47" s="35"/>
      <c r="E47" s="6"/>
      <c r="F47" s="19" t="s">
        <v>14</v>
      </c>
      <c r="G47" s="10" t="str">
        <f>IF(C28=1,"",IF(C28=2,"",IF(C28=3,"",IF(C28=4,((-1/10)*D15*F10^2),IF(C28=5,((-1/10)*D15*F10^2),IF(C28=6,((-1/10)*D15*F10^2),IF(C28=7,((-1/10)*D15*F10^2),"")))))))</f>
        <v/>
      </c>
      <c r="H47" s="19" t="s">
        <v>17</v>
      </c>
      <c r="I47" s="6"/>
      <c r="J47" s="6"/>
      <c r="K47" s="6"/>
    </row>
    <row r="48" spans="1:11" ht="15.75">
      <c r="A48" s="6"/>
      <c r="B48" s="6"/>
      <c r="C48" s="6"/>
      <c r="D48" s="6"/>
      <c r="E48" s="6"/>
      <c r="F48" s="19" t="s">
        <v>15</v>
      </c>
      <c r="G48" s="10" t="str">
        <f>IF(C28=1,"",IF(C28=2,"",IF(C28=3,"",IF(C28=4,((1/14)*D15*F10^2),IF(C28=5,"",IF(C28=6,"",IF(C28=7,"","")))))))</f>
        <v/>
      </c>
      <c r="H48" s="19" t="s">
        <v>17</v>
      </c>
      <c r="I48" s="6"/>
      <c r="J48" s="6"/>
      <c r="K48" s="6"/>
    </row>
    <row r="49" spans="1:11" ht="15.75">
      <c r="A49" s="6"/>
      <c r="B49" s="6"/>
      <c r="C49" s="6"/>
      <c r="D49" s="6"/>
      <c r="E49" s="6"/>
      <c r="F49" s="19" t="s">
        <v>16</v>
      </c>
      <c r="G49" s="10" t="str">
        <f>IF(C28=1,"",IF(C28=2,"",IF(C28=3,"",IF(C28=4,"",IF(C28=5,((1/16)*D15*F10^2),IF(C28=6,((1/16)*D15*F10^2),IF(C28=7,((1/16)*D15*F10^2),"")))))))</f>
        <v/>
      </c>
      <c r="H49" s="19" t="s">
        <v>17</v>
      </c>
      <c r="I49" s="6"/>
      <c r="J49" s="6"/>
      <c r="K49" s="6"/>
    </row>
    <row r="50" spans="1:11" ht="15.75">
      <c r="A50" s="6"/>
      <c r="B50" s="6"/>
      <c r="C50" s="6"/>
      <c r="D50" s="6"/>
      <c r="E50" s="6"/>
      <c r="F50" s="6"/>
      <c r="G50" s="6"/>
      <c r="H50" s="19"/>
      <c r="I50" s="10"/>
      <c r="J50" s="19"/>
      <c r="K50" s="6"/>
    </row>
    <row r="51" spans="1:11" ht="15.75" customHeight="1">
      <c r="A51" s="6"/>
      <c r="B51" s="6"/>
      <c r="C51" s="34"/>
      <c r="D51" s="35"/>
      <c r="E51" s="6"/>
      <c r="F51" s="19" t="s">
        <v>13</v>
      </c>
      <c r="G51" s="10" t="str">
        <f>IF(C28=1,"",IF(C28=2,"",IF(C28=3,"",IF(C28=4,"",IF(C28=5,((-1/24)*D15*I7^2),IF(C28=6,((-1/24)*D15*I7^2),IF(C28=7,((-1/24)*D15*I7^2),"")))))))</f>
        <v/>
      </c>
      <c r="H51" s="19" t="s">
        <v>17</v>
      </c>
      <c r="I51" s="6"/>
      <c r="J51" s="6"/>
      <c r="K51" s="6"/>
    </row>
    <row r="52" spans="1:11" ht="15.75" customHeight="1">
      <c r="A52" s="6"/>
      <c r="B52" s="6"/>
      <c r="C52" s="34"/>
      <c r="D52" s="35"/>
      <c r="E52" s="6"/>
      <c r="F52" s="19" t="s">
        <v>14</v>
      </c>
      <c r="G52" s="10" t="str">
        <f>IF(C28=1,"",IF(C28=2,"",IF(C28=3,"",IF(C28=4,"",IF(C28=5,((-1/10)*D15*I7^2),IF(C28=6,((-1/10)*D15*I7^2),IF(C28=7,((-1/10)*D15*I7^2),"")))))))</f>
        <v/>
      </c>
      <c r="H52" s="19" t="s">
        <v>17</v>
      </c>
      <c r="I52" s="6"/>
      <c r="J52" s="6"/>
      <c r="K52" s="6"/>
    </row>
    <row r="53" spans="1:11" ht="15.75">
      <c r="A53" s="6"/>
      <c r="B53" s="6"/>
      <c r="C53" s="6"/>
      <c r="D53" s="6"/>
      <c r="E53" s="6"/>
      <c r="F53" s="19" t="s">
        <v>15</v>
      </c>
      <c r="G53" s="10" t="str">
        <f>IF(C28=1,"",IF(C28=2,"",IF(C28=3,"",IF(C28=4,"",IF(C28=5,((1/14)*D15*I7^2),IF(C28=6,"",IF(C28=7,"","")))))))</f>
        <v/>
      </c>
      <c r="H53" s="19" t="s">
        <v>17</v>
      </c>
      <c r="I53" s="6"/>
      <c r="J53" s="6"/>
      <c r="K53" s="6"/>
    </row>
    <row r="54" spans="1:11" ht="15.75">
      <c r="A54" s="6"/>
      <c r="B54" s="6"/>
      <c r="C54" s="6"/>
      <c r="D54" s="6"/>
      <c r="E54" s="6"/>
      <c r="F54" s="6"/>
      <c r="G54" s="6"/>
      <c r="H54" s="19"/>
      <c r="I54" s="20"/>
      <c r="J54" s="19"/>
      <c r="K54" s="6"/>
    </row>
    <row r="55" spans="1:11">
      <c r="A55" s="6"/>
      <c r="B55" s="6"/>
      <c r="C55" s="6"/>
      <c r="D55" s="6"/>
      <c r="E55" s="6"/>
      <c r="F55" s="6"/>
      <c r="G55" s="32" t="s">
        <v>24</v>
      </c>
      <c r="H55" s="36"/>
      <c r="I55" s="36"/>
      <c r="J55" s="36"/>
      <c r="K55" s="6"/>
    </row>
    <row r="56" spans="1:11" ht="15" customHeight="1">
      <c r="A56" s="6"/>
      <c r="B56" s="6"/>
      <c r="C56" s="7"/>
      <c r="D56" s="6"/>
      <c r="E56" s="6"/>
      <c r="F56" s="6"/>
      <c r="G56" s="36"/>
      <c r="H56" s="36"/>
      <c r="I56" s="36"/>
      <c r="J56" s="36"/>
      <c r="K56" s="6"/>
    </row>
    <row r="57" spans="1:11" ht="15" customHeight="1">
      <c r="A57" s="6"/>
      <c r="B57" s="6"/>
      <c r="C57" s="7"/>
      <c r="D57" s="6"/>
      <c r="E57" s="6"/>
      <c r="F57" s="6"/>
      <c r="G57" s="36"/>
      <c r="H57" s="36"/>
      <c r="I57" s="36"/>
      <c r="J57" s="36"/>
      <c r="K57" s="6"/>
    </row>
    <row r="58" spans="1:11">
      <c r="A58" s="6"/>
      <c r="B58" s="6"/>
      <c r="C58" s="7"/>
      <c r="D58" s="6"/>
      <c r="E58" s="6"/>
      <c r="F58" s="6"/>
      <c r="G58" s="36"/>
      <c r="H58" s="36"/>
      <c r="I58" s="36"/>
      <c r="J58" s="36"/>
      <c r="K58" s="6"/>
    </row>
    <row r="59" spans="1:11">
      <c r="A59" s="6"/>
      <c r="B59" s="31" t="s">
        <v>40</v>
      </c>
      <c r="C59" s="31"/>
      <c r="D59" s="31"/>
      <c r="E59" s="6"/>
      <c r="F59" s="6"/>
      <c r="G59" s="6"/>
      <c r="H59" s="6"/>
      <c r="I59" s="6"/>
      <c r="J59" s="6"/>
      <c r="K59" s="6"/>
    </row>
    <row r="60" spans="1:11" ht="18.75">
      <c r="A60" s="6"/>
      <c r="B60" s="31"/>
      <c r="C60" s="31"/>
      <c r="D60" s="31"/>
      <c r="E60" s="6"/>
      <c r="F60" s="21" t="s">
        <v>25</v>
      </c>
      <c r="G60" s="5">
        <f>IF(AND(B59="دو انتها ساده",C10=400),(MAX(F7,F8,F9,F10,I7)/20),IF(AND(B59="دو انتها ساده",C10=300),(MAX(F7,F8,F9,F10,I7)/25),IF(AND(B59="دو انتها پیوسته",C10=400),(MAX(F7,F8,F9,F10,I7)/28),IF(AND(B59="دو انتها پیوسته",C10=300),(MAX(F7,F8,F9,F10,I7)/34),IF(AND(B59="یک انتها ساده یک انتها پیوسته",C10=400),(MAX(F7,F8,F9,F10,I7)/24),IF(AND(B59="یک انتها ساده یک انتها پیوسته",C10=300),(MAX(F7,F8,F9,F10,I7)/29),IF(AND(B59="کنسول",C10=400),(MAX(F7,F8,F9,F10,I7)/10),IF(AND(B59="کنسول",C10=300),(MAX(F7,F8,F9,F10,I7)/12),""))))))))</f>
        <v>117.24137931034483</v>
      </c>
      <c r="H60" s="22" t="s">
        <v>6</v>
      </c>
      <c r="I60" s="2">
        <v>300</v>
      </c>
      <c r="J60" s="22" t="s">
        <v>6</v>
      </c>
      <c r="K60" s="6"/>
    </row>
    <row r="61" spans="1:11" ht="15" customHeight="1">
      <c r="A61" s="6"/>
      <c r="B61" s="31"/>
      <c r="C61" s="31"/>
      <c r="D61" s="31"/>
      <c r="E61" s="6"/>
      <c r="F61" s="6"/>
      <c r="G61" s="6"/>
      <c r="H61" s="6"/>
      <c r="I61" s="6"/>
      <c r="J61" s="6"/>
      <c r="K61" s="6"/>
    </row>
    <row r="62" spans="1:11" ht="15" customHeight="1">
      <c r="A62" s="6"/>
      <c r="B62" s="6"/>
      <c r="C62" s="7"/>
      <c r="D62" s="6"/>
      <c r="E62" s="6"/>
      <c r="F62" s="6"/>
      <c r="G62" s="6"/>
      <c r="H62" s="6"/>
      <c r="I62" s="6"/>
      <c r="J62" s="6"/>
      <c r="K62" s="6"/>
    </row>
    <row r="63" spans="1:11">
      <c r="A63" s="6"/>
      <c r="B63" s="6"/>
      <c r="C63" s="7"/>
      <c r="D63" s="6"/>
      <c r="E63" s="6"/>
      <c r="F63" s="6"/>
      <c r="G63" s="6"/>
      <c r="H63" s="6"/>
      <c r="I63" s="6"/>
      <c r="J63" s="6"/>
      <c r="K63" s="6"/>
    </row>
    <row r="64" spans="1:11">
      <c r="A64" s="6"/>
      <c r="B64" s="6"/>
      <c r="C64" s="11"/>
      <c r="D64" s="6"/>
      <c r="E64" s="6"/>
      <c r="F64" s="6"/>
      <c r="G64" s="32" t="s">
        <v>26</v>
      </c>
      <c r="H64" s="33"/>
      <c r="I64" s="33"/>
      <c r="J64" s="33"/>
      <c r="K64" s="6"/>
    </row>
    <row r="65" spans="1:11">
      <c r="A65" s="6"/>
      <c r="B65" s="6"/>
      <c r="C65" s="6"/>
      <c r="D65" s="6"/>
      <c r="E65" s="6"/>
      <c r="F65" s="6"/>
      <c r="G65" s="33"/>
      <c r="H65" s="33"/>
      <c r="I65" s="33"/>
      <c r="J65" s="33"/>
      <c r="K65" s="6"/>
    </row>
    <row r="66" spans="1:11" ht="15" customHeight="1">
      <c r="A66" s="6"/>
      <c r="B66" s="6"/>
      <c r="C66" s="7"/>
      <c r="D66" s="6"/>
      <c r="E66" s="6"/>
      <c r="F66" s="6"/>
      <c r="G66" s="33"/>
      <c r="H66" s="33"/>
      <c r="I66" s="33"/>
      <c r="J66" s="33"/>
      <c r="K66" s="6"/>
    </row>
    <row r="67" spans="1:11" ht="15" customHeight="1">
      <c r="A67" s="6"/>
      <c r="B67" s="3">
        <v>1</v>
      </c>
      <c r="C67" s="6"/>
      <c r="D67" s="23" t="s">
        <v>27</v>
      </c>
      <c r="E67" s="11">
        <f>MAX(G33,G37,G38,G42,G43,G48,G49,G53)</f>
        <v>5214041.666666667</v>
      </c>
      <c r="F67" s="19" t="s">
        <v>17</v>
      </c>
      <c r="G67" s="33"/>
      <c r="H67" s="33"/>
      <c r="I67" s="33"/>
      <c r="J67" s="33"/>
      <c r="K67" s="6"/>
    </row>
    <row r="68" spans="1:11">
      <c r="A68" s="6"/>
      <c r="B68" s="6"/>
      <c r="C68" s="7"/>
      <c r="D68" s="6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11"/>
      <c r="J69" s="6"/>
      <c r="K69" s="6"/>
    </row>
    <row r="70" spans="1:11">
      <c r="A70" s="6"/>
      <c r="B70" s="6"/>
      <c r="C70" s="6"/>
      <c r="D70" s="6"/>
      <c r="E70" s="6"/>
      <c r="F70" s="17">
        <f>MIN(((IF(B67=1,F7,IF(B67=2,F8,IF(B67=3,F9,IF(B67=4,F10,I7)))))*0.25),((16*50)+100),500)</f>
        <v>500</v>
      </c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>
        <f>E67/((0.85*C10)*((I60-20)-(25)))</f>
        <v>80.18518518518519</v>
      </c>
      <c r="E73" s="6" t="s">
        <v>28</v>
      </c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46" t="str">
        <f>IF(D76&lt;=50,"مقطع مستطیلی است","مقطع سپری شکل است")</f>
        <v>مقطع مستطیلی است</v>
      </c>
      <c r="H75" s="46"/>
      <c r="I75" s="46"/>
      <c r="J75" s="6"/>
      <c r="K75" s="6"/>
    </row>
    <row r="76" spans="1:11">
      <c r="A76" s="6"/>
      <c r="B76" s="6"/>
      <c r="C76" s="6"/>
      <c r="D76" s="6">
        <f>(D73*0.85*C10)/(0.85*0.65*C9*F70)</f>
        <v>2.9606837606837608</v>
      </c>
      <c r="E76" s="6"/>
      <c r="F76" s="6"/>
      <c r="G76" s="46"/>
      <c r="H76" s="46"/>
      <c r="I76" s="46"/>
      <c r="J76" s="6"/>
      <c r="K76" s="6"/>
    </row>
    <row r="77" spans="1:11">
      <c r="A77" s="6"/>
      <c r="B77" s="6"/>
      <c r="C77" s="6"/>
      <c r="D77" s="6"/>
      <c r="E77" s="6"/>
      <c r="F77" s="6"/>
      <c r="G77" s="46"/>
      <c r="H77" s="46"/>
      <c r="I77" s="4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17">
        <f>U83*U88</f>
        <v>74.873961835731563</v>
      </c>
      <c r="H80" s="6" t="s">
        <v>28</v>
      </c>
      <c r="I80" s="6"/>
      <c r="J80" s="6"/>
      <c r="K80" s="6"/>
    </row>
    <row r="81" spans="1:21">
      <c r="A81" s="6"/>
      <c r="B81" s="6"/>
      <c r="C81" s="6"/>
      <c r="D81" s="6"/>
      <c r="E81" s="6"/>
      <c r="F81" s="6"/>
      <c r="G81" s="17"/>
      <c r="H81" s="6"/>
      <c r="I81" s="6"/>
      <c r="J81" s="6"/>
      <c r="K81" s="6"/>
    </row>
    <row r="82" spans="1:21">
      <c r="A82" s="6"/>
      <c r="B82" s="6"/>
      <c r="C82" s="6"/>
      <c r="D82" s="6"/>
      <c r="E82" s="6"/>
      <c r="F82" s="6"/>
      <c r="G82" s="17"/>
      <c r="H82" s="6"/>
      <c r="I82" s="6"/>
      <c r="J82" s="6"/>
      <c r="K82" s="6"/>
    </row>
    <row r="83" spans="1:21" ht="18.75">
      <c r="A83" s="6"/>
      <c r="B83" s="4">
        <v>12</v>
      </c>
      <c r="C83" s="6"/>
      <c r="D83" s="6">
        <f>0.25*PI()*B83^2</f>
        <v>113.09733552923255</v>
      </c>
      <c r="E83" s="6"/>
      <c r="F83" s="6"/>
      <c r="G83" s="7">
        <f>ROUND(G80/D83,2)</f>
        <v>0.66</v>
      </c>
      <c r="H83" s="9">
        <v>2</v>
      </c>
      <c r="I83" s="6">
        <f>ROUND(H83*D83,2)</f>
        <v>226.19</v>
      </c>
      <c r="J83" s="24" t="s">
        <v>28</v>
      </c>
      <c r="K83" s="6"/>
      <c r="U83">
        <f>(0.85*0.65*C9*100*((I60-20)))/(0.85*C10)</f>
        <v>1516.6666666666667</v>
      </c>
    </row>
    <row r="84" spans="1:21" ht="18.75">
      <c r="A84" s="6"/>
      <c r="B84" s="5"/>
      <c r="C84" s="6"/>
      <c r="D84" s="6"/>
      <c r="E84" s="6"/>
      <c r="F84" s="6"/>
      <c r="G84" s="7"/>
      <c r="H84" s="8"/>
      <c r="I84" s="6"/>
      <c r="J84" s="6"/>
      <c r="K84" s="6"/>
    </row>
    <row r="85" spans="1:21" ht="15.75">
      <c r="A85" s="6"/>
      <c r="B85" s="5"/>
      <c r="C85" s="6"/>
      <c r="D85" s="6">
        <f>I83/(100*((I60-20)))</f>
        <v>8.0782142857142858E-3</v>
      </c>
      <c r="E85" s="6"/>
      <c r="F85" s="6"/>
      <c r="G85" s="10">
        <f>IF(OR(C10=220,C10=300),0.0025,0.0015)</f>
        <v>2.5000000000000001E-3</v>
      </c>
      <c r="H85" s="25" t="str">
        <f>IF(D85&gt;=G85,"OK","Not OK")</f>
        <v>OK</v>
      </c>
      <c r="I85" s="6"/>
      <c r="J85" s="6"/>
      <c r="K85" s="6"/>
    </row>
    <row r="86" spans="1:21" ht="18.75">
      <c r="A86" s="6"/>
      <c r="B86" s="5"/>
      <c r="C86" s="6"/>
      <c r="D86" s="6"/>
      <c r="E86" s="6"/>
      <c r="F86" s="6"/>
      <c r="G86" s="7"/>
      <c r="H86" s="8"/>
      <c r="I86" s="6"/>
      <c r="J86" s="6"/>
      <c r="K86" s="6"/>
    </row>
    <row r="87" spans="1:21">
      <c r="A87" s="6"/>
      <c r="B87" s="6"/>
      <c r="C87" s="6"/>
      <c r="D87" s="6"/>
      <c r="E87" s="6"/>
      <c r="F87" s="6"/>
      <c r="G87" s="32" t="s">
        <v>29</v>
      </c>
      <c r="H87" s="33"/>
      <c r="I87" s="33"/>
      <c r="J87" s="33"/>
      <c r="K87" s="6"/>
      <c r="U87">
        <f>SQRT(1-((2*E67)/(0.85*0.65*C9*100*((I60-20))^2)))</f>
        <v>0.95063255263578139</v>
      </c>
    </row>
    <row r="88" spans="1:21">
      <c r="A88" s="6"/>
      <c r="B88" s="6"/>
      <c r="C88" s="6"/>
      <c r="D88" s="6"/>
      <c r="E88" s="6"/>
      <c r="F88" s="6"/>
      <c r="G88" s="33"/>
      <c r="H88" s="33"/>
      <c r="I88" s="33"/>
      <c r="J88" s="33"/>
      <c r="K88" s="6"/>
      <c r="U88">
        <f>1-U87</f>
        <v>4.9367447364218608E-2</v>
      </c>
    </row>
    <row r="89" spans="1:21">
      <c r="A89" s="6"/>
      <c r="B89" s="6"/>
      <c r="C89" s="6"/>
      <c r="D89" s="6"/>
      <c r="E89" s="6"/>
      <c r="F89" s="6"/>
      <c r="G89" s="33"/>
      <c r="H89" s="33"/>
      <c r="I89" s="33"/>
      <c r="J89" s="33"/>
      <c r="K89" s="6"/>
    </row>
    <row r="90" spans="1:21">
      <c r="A90" s="6"/>
      <c r="B90" s="6"/>
      <c r="C90" s="7"/>
      <c r="D90" s="6"/>
      <c r="E90" s="6"/>
      <c r="F90" s="6"/>
      <c r="G90" s="33"/>
      <c r="H90" s="33"/>
      <c r="I90" s="33"/>
      <c r="J90" s="33"/>
      <c r="K90" s="6"/>
    </row>
    <row r="91" spans="1:21" ht="15.75">
      <c r="A91" s="6"/>
      <c r="B91" s="3">
        <v>1</v>
      </c>
      <c r="C91" s="6"/>
      <c r="D91" s="23" t="s">
        <v>30</v>
      </c>
      <c r="E91" s="11">
        <f>ABS(MIN(G31,G32,G35,G36,G40,G41,G46,G47,G51,G52))</f>
        <v>2607020.8333333335</v>
      </c>
      <c r="F91" s="19" t="s">
        <v>17</v>
      </c>
      <c r="G91" s="6"/>
      <c r="H91" s="6"/>
      <c r="I91" s="6"/>
      <c r="J91" s="6"/>
      <c r="K91" s="6"/>
    </row>
    <row r="92" spans="1:21">
      <c r="A92" s="6"/>
      <c r="B92" s="6"/>
      <c r="C92" s="6"/>
      <c r="D92" s="6"/>
      <c r="E92" s="6"/>
      <c r="F92" s="6"/>
      <c r="G92" s="13"/>
      <c r="H92" s="6"/>
      <c r="I92" s="6"/>
      <c r="J92" s="6"/>
      <c r="K92" s="6"/>
    </row>
    <row r="93" spans="1:21">
      <c r="A93" s="6"/>
      <c r="B93" s="11">
        <f>IF(C9&lt;=30,0.85,IF(AND(C9&gt;30,C9&lt;55),(0.85-(0.008*(C9-30))),0.65))</f>
        <v>0.85</v>
      </c>
      <c r="C93" s="6"/>
      <c r="D93" s="6"/>
      <c r="E93" s="6"/>
      <c r="F93" s="6"/>
      <c r="G93" s="6"/>
      <c r="H93" s="6"/>
      <c r="I93" s="6"/>
      <c r="J93" s="6"/>
      <c r="K93" s="6"/>
    </row>
    <row r="94" spans="1:2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U94">
        <f>SQRT(1-((2*ABS(E91))/(0.85*0.65*C9*100*((I60-20))^2)))</f>
        <v>0.97562857946321502</v>
      </c>
    </row>
    <row r="95" spans="1:21">
      <c r="A95" s="6"/>
      <c r="B95" s="6"/>
      <c r="C95" s="6"/>
      <c r="D95" s="6"/>
      <c r="E95" s="6"/>
      <c r="F95" s="6"/>
      <c r="G95" s="7">
        <f>(B93*0.85*0.6*C9*600)/(0.85*C10*(C10+600))</f>
        <v>2.8333333333333328E-2</v>
      </c>
      <c r="H95" s="6"/>
      <c r="I95" s="6"/>
      <c r="J95" s="6"/>
      <c r="K95" s="6"/>
      <c r="U95">
        <f>1-U94</f>
        <v>2.4371420536784982E-2</v>
      </c>
    </row>
    <row r="96" spans="1:2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6"/>
      <c r="B98" s="6"/>
      <c r="C98" s="6"/>
      <c r="D98" s="6"/>
      <c r="E98" s="12">
        <f>G95*(100*((I60-20)))</f>
        <v>793.33333333333314</v>
      </c>
      <c r="F98" s="6" t="s">
        <v>28</v>
      </c>
      <c r="G98" s="6"/>
      <c r="H98" s="6"/>
      <c r="I98" s="6"/>
      <c r="J98" s="6"/>
      <c r="K98" s="6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>
        <f>(E98*0.85*C10)/(0.85*0.6*C9*100)</f>
        <v>158.66666666666663</v>
      </c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6"/>
      <c r="B104" s="6"/>
      <c r="C104" s="6"/>
      <c r="D104" s="6"/>
      <c r="E104" s="6"/>
      <c r="F104" s="6"/>
      <c r="G104" s="7">
        <f>((E98*0.85*C10*((I60-20)))-(E98*0.85*0.5*E101))*0.000001</f>
        <v>56.590502888888871</v>
      </c>
      <c r="H104" s="6" t="s">
        <v>31</v>
      </c>
      <c r="I104" s="6">
        <f>E91*0.000001</f>
        <v>2.6070208333333333</v>
      </c>
      <c r="J104" s="6" t="s">
        <v>31</v>
      </c>
      <c r="K104" s="6"/>
    </row>
    <row r="105" spans="1:11" ht="18.75">
      <c r="A105" s="6"/>
      <c r="B105" s="6"/>
      <c r="C105" s="6"/>
      <c r="D105" s="6"/>
      <c r="E105" s="6"/>
      <c r="F105" s="6"/>
      <c r="G105" s="6"/>
      <c r="H105" s="6"/>
      <c r="I105" s="26" t="str">
        <f>IF(G104&gt;=I104,"ok","Not ok")</f>
        <v>ok</v>
      </c>
      <c r="J105" s="6"/>
      <c r="K105" s="6"/>
    </row>
    <row r="106" spans="1:11">
      <c r="A106" s="6"/>
      <c r="B106" s="6"/>
      <c r="C106" s="6"/>
      <c r="D106" s="6"/>
      <c r="E106" s="6"/>
      <c r="F106" s="6"/>
      <c r="G106" s="6"/>
      <c r="H106" s="6"/>
      <c r="J106" s="6"/>
      <c r="K106" s="6"/>
    </row>
    <row r="107" spans="1:11">
      <c r="A107" s="6"/>
      <c r="B107" s="6"/>
      <c r="C107" s="6"/>
      <c r="D107" s="6"/>
      <c r="E107" s="6"/>
      <c r="F107" s="6"/>
      <c r="G107" s="6">
        <f>U83*U95</f>
        <v>36.963321147457222</v>
      </c>
      <c r="H107" s="6"/>
      <c r="I107" s="6"/>
      <c r="J107" s="6"/>
      <c r="K107" s="6"/>
    </row>
    <row r="108" spans="1:1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>
      <c r="A109" s="6"/>
      <c r="B109" s="6"/>
      <c r="C109" s="6"/>
      <c r="D109" s="6"/>
      <c r="E109" s="6"/>
      <c r="F109" s="6"/>
      <c r="G109" s="17"/>
      <c r="H109" s="6"/>
      <c r="I109" s="6"/>
      <c r="J109" s="6"/>
      <c r="K109" s="6"/>
    </row>
    <row r="110" spans="1:11" ht="18.75">
      <c r="A110" s="6"/>
      <c r="B110" s="4">
        <v>12</v>
      </c>
      <c r="C110" s="6"/>
      <c r="D110" s="6">
        <f>0.25*PI()*B110^2</f>
        <v>113.09733552923255</v>
      </c>
      <c r="E110" s="6"/>
      <c r="F110" s="6"/>
      <c r="G110" s="7">
        <f>ROUND(G107/D110,2)</f>
        <v>0.33</v>
      </c>
      <c r="H110" s="9">
        <v>1</v>
      </c>
      <c r="I110" s="6">
        <f>ROUND(H110*D110,2)</f>
        <v>113.1</v>
      </c>
      <c r="J110" s="24" t="s">
        <v>28</v>
      </c>
      <c r="K110" s="6"/>
    </row>
    <row r="111" spans="1:11" ht="18.75">
      <c r="A111" s="6"/>
      <c r="B111" s="5"/>
      <c r="C111" s="6"/>
      <c r="D111" s="6"/>
      <c r="E111" s="6"/>
      <c r="F111" s="6"/>
      <c r="G111" s="7"/>
      <c r="H111" s="8"/>
      <c r="I111" s="6"/>
      <c r="J111" s="6"/>
      <c r="K111" s="6"/>
    </row>
    <row r="112" spans="1:11" ht="15.75">
      <c r="A112" s="6"/>
      <c r="B112" s="5"/>
      <c r="C112" s="6"/>
      <c r="D112" s="6">
        <f>I110/(100*((I60-20)))</f>
        <v>4.039285714285714E-3</v>
      </c>
      <c r="E112" s="6"/>
      <c r="F112" s="6"/>
      <c r="G112" s="6">
        <f>0.15*D85</f>
        <v>1.2117321428571429E-3</v>
      </c>
      <c r="H112" s="25" t="str">
        <f>IF(D112&gt;=G112,"ok","Not ok")</f>
        <v>ok</v>
      </c>
      <c r="I112" s="6"/>
      <c r="J112" s="6"/>
      <c r="K112" s="6"/>
    </row>
    <row r="113" spans="1:11" ht="15.75">
      <c r="A113" s="6"/>
      <c r="B113" s="5"/>
      <c r="C113" s="6"/>
      <c r="D113" s="6"/>
      <c r="E113" s="6"/>
      <c r="F113" s="6"/>
      <c r="G113" s="6"/>
      <c r="H113" s="25"/>
      <c r="I113" s="6"/>
      <c r="J113" s="6"/>
      <c r="K113" s="6"/>
    </row>
    <row r="114" spans="1:11" ht="18.75" customHeight="1">
      <c r="A114" s="6"/>
      <c r="B114" s="5"/>
      <c r="C114" s="6"/>
      <c r="D114" s="39" t="s">
        <v>35</v>
      </c>
      <c r="E114" s="38">
        <f>0.0002*(((IF(B91=1,F7,IF(B91=2,F8,IF(B91=3,F9,IF(B91=4,F10,I7)))))))</f>
        <v>0.68</v>
      </c>
      <c r="F114" s="37" t="s">
        <v>34</v>
      </c>
      <c r="G114" s="37"/>
      <c r="H114" s="37"/>
      <c r="I114" s="37"/>
      <c r="J114" s="6"/>
      <c r="K114" s="6"/>
    </row>
    <row r="115" spans="1:11" ht="18.75" customHeight="1">
      <c r="A115" s="6"/>
      <c r="B115" s="5"/>
      <c r="C115" s="6"/>
      <c r="D115" s="39"/>
      <c r="E115" s="38"/>
      <c r="F115" s="37"/>
      <c r="G115" s="37"/>
      <c r="H115" s="37"/>
      <c r="I115" s="37"/>
      <c r="J115" s="6"/>
      <c r="K115" s="6"/>
    </row>
    <row r="116" spans="1:11">
      <c r="A116" s="6"/>
      <c r="B116" s="6"/>
      <c r="C116" s="6"/>
      <c r="D116" s="6"/>
      <c r="E116" s="6"/>
      <c r="F116" s="6"/>
      <c r="G116" s="6"/>
      <c r="H116" s="48" t="s">
        <v>32</v>
      </c>
      <c r="I116" s="48"/>
      <c r="J116" s="48"/>
      <c r="K116" s="6"/>
    </row>
    <row r="117" spans="1:11">
      <c r="A117" s="6"/>
      <c r="B117" s="6"/>
      <c r="C117" s="6"/>
      <c r="D117" s="6"/>
      <c r="E117" s="6"/>
      <c r="F117" s="6"/>
      <c r="G117" s="6"/>
      <c r="H117" s="48"/>
      <c r="I117" s="48"/>
      <c r="J117" s="48"/>
      <c r="K117" s="6"/>
    </row>
    <row r="118" spans="1:11">
      <c r="A118" s="6"/>
      <c r="B118" s="6"/>
      <c r="C118" s="6"/>
      <c r="D118" s="6"/>
      <c r="E118" s="6"/>
      <c r="F118" s="6"/>
      <c r="G118" s="6"/>
      <c r="H118" s="48"/>
      <c r="I118" s="48"/>
      <c r="J118" s="48"/>
      <c r="K118" s="6"/>
    </row>
    <row r="119" spans="1:11">
      <c r="A119" s="6"/>
      <c r="B119" s="6"/>
      <c r="C119" s="3">
        <v>1</v>
      </c>
      <c r="D119" s="6"/>
      <c r="E119" s="6"/>
      <c r="F119" s="6"/>
      <c r="G119" s="6"/>
      <c r="H119" s="6"/>
      <c r="I119" s="6"/>
      <c r="J119" s="6"/>
      <c r="K119" s="6"/>
    </row>
    <row r="120" spans="1:1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>
      <c r="A122" s="6"/>
      <c r="B122" s="6"/>
      <c r="C122" s="6"/>
      <c r="D122" s="6">
        <f>1.15*D15*0.5*(((IF(C119=1,F7,IF(C119=2,F8,IF(C119=3,F9,IF(C119=4,F10,I7)))))))</f>
        <v>10581.4375</v>
      </c>
      <c r="E122" s="6" t="s">
        <v>33</v>
      </c>
      <c r="F122" s="6"/>
      <c r="G122" s="6"/>
      <c r="H122" s="6"/>
      <c r="I122" s="6"/>
      <c r="J122" s="6"/>
      <c r="K122" s="6"/>
    </row>
    <row r="123" spans="1:1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>
      <c r="A124" s="6"/>
      <c r="B124" s="6"/>
      <c r="C124" s="6"/>
      <c r="D124" s="6"/>
      <c r="E124" s="7">
        <f>0.2*0.85*SQRT(C9)*100*(I60-20)</f>
        <v>23800.000000000004</v>
      </c>
      <c r="F124" s="6" t="s">
        <v>33</v>
      </c>
      <c r="G124" s="6"/>
      <c r="H124" s="6"/>
      <c r="I124" s="6"/>
      <c r="J124" s="6"/>
      <c r="K124" s="6"/>
    </row>
    <row r="125" spans="1:1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>
      <c r="A126" s="6"/>
      <c r="B126" s="6"/>
      <c r="C126" s="6"/>
      <c r="D126" s="6">
        <f>D122-E124</f>
        <v>-13218.562500000004</v>
      </c>
      <c r="E126" s="6" t="s">
        <v>33</v>
      </c>
      <c r="F126" s="6"/>
      <c r="G126" s="6"/>
      <c r="H126" s="6"/>
      <c r="I126" s="6"/>
      <c r="J126" s="6"/>
      <c r="K126" s="6"/>
    </row>
    <row r="127" spans="1:1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ht="18.75">
      <c r="A128" s="6"/>
      <c r="B128" s="6"/>
      <c r="C128" s="6"/>
      <c r="D128" s="6"/>
      <c r="E128" s="6"/>
      <c r="F128" s="6">
        <f>(D126*200)/(0.85*C10*SQRT(2)*(I60-20))</f>
        <v>-26.181891264112618</v>
      </c>
      <c r="G128" s="6" t="s">
        <v>28</v>
      </c>
      <c r="H128" s="29">
        <v>6</v>
      </c>
      <c r="I128" s="6"/>
      <c r="J128" s="7">
        <f>0.25*PI()*H128^2</f>
        <v>28.274333882308138</v>
      </c>
      <c r="K128" s="6"/>
    </row>
    <row r="129" spans="1:1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ht="18.75">
      <c r="A130" s="6"/>
      <c r="B130" s="6"/>
      <c r="C130" s="6"/>
      <c r="D130" s="6"/>
      <c r="E130" s="6"/>
      <c r="F130" s="6"/>
      <c r="G130" s="6"/>
      <c r="H130" s="6"/>
      <c r="I130" s="26" t="str">
        <f>IF(F128&lt;=J128,"ok","Not ok")</f>
        <v>ok</v>
      </c>
      <c r="J130" s="6"/>
      <c r="K130" s="6"/>
    </row>
    <row r="131" spans="1:11">
      <c r="A131" s="6"/>
      <c r="B131" s="6"/>
      <c r="C131" s="6"/>
      <c r="D131" s="6"/>
      <c r="E131" s="6"/>
      <c r="F131" s="6"/>
      <c r="G131" s="6"/>
      <c r="H131" s="32" t="s">
        <v>36</v>
      </c>
      <c r="I131" s="32"/>
      <c r="J131" s="32"/>
      <c r="K131" s="6"/>
    </row>
    <row r="132" spans="1:11">
      <c r="A132" s="6"/>
      <c r="B132" s="6"/>
      <c r="C132" s="6"/>
      <c r="D132" s="6"/>
      <c r="E132" s="6"/>
      <c r="F132" s="6"/>
      <c r="G132" s="6"/>
      <c r="H132" s="32"/>
      <c r="I132" s="32"/>
      <c r="J132" s="32"/>
      <c r="K132" s="6"/>
    </row>
    <row r="133" spans="1:11">
      <c r="A133" s="6"/>
      <c r="B133" s="3">
        <v>1</v>
      </c>
      <c r="C133" s="7">
        <f>(((IF(B133=1,F7,IF(B133=2,F8,IF(B133=3,F9,IF(B133=4,F10,I7)))))))</f>
        <v>3400</v>
      </c>
      <c r="D133" s="6"/>
      <c r="E133" s="17">
        <f>IF(C133&lt;=3000,6,IF(AND(C133&gt;3000,C133&lt;=4000),8,IF(AND(C133&gt;4000,C133&lt;=5500),10,IF(AND(C133&gt;5500,C133&lt;=7000),12,""))))</f>
        <v>8</v>
      </c>
      <c r="F133" s="6"/>
      <c r="G133" s="6"/>
      <c r="H133" s="32"/>
      <c r="I133" s="32"/>
      <c r="J133" s="32"/>
      <c r="K133" s="6"/>
    </row>
    <row r="134" spans="1:1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>
      <c r="A136" s="6"/>
      <c r="B136" s="6"/>
      <c r="C136" s="6"/>
      <c r="D136" s="6"/>
      <c r="E136" s="6"/>
      <c r="F136" s="6"/>
      <c r="G136" s="6"/>
      <c r="H136" s="48" t="s">
        <v>37</v>
      </c>
      <c r="I136" s="36"/>
      <c r="J136" s="36"/>
      <c r="K136" s="6"/>
    </row>
    <row r="137" spans="1:11">
      <c r="A137" s="6"/>
      <c r="B137" s="6"/>
      <c r="C137" s="6"/>
      <c r="D137" s="6"/>
      <c r="E137" s="6"/>
      <c r="F137" s="6"/>
      <c r="G137" s="6"/>
      <c r="H137" s="36"/>
      <c r="I137" s="36"/>
      <c r="J137" s="36"/>
      <c r="K137" s="6"/>
    </row>
    <row r="138" spans="1:11">
      <c r="A138" s="6"/>
      <c r="B138" s="6"/>
      <c r="C138" s="6"/>
      <c r="D138" s="6"/>
      <c r="E138" s="6"/>
      <c r="F138" s="6"/>
      <c r="G138" s="6"/>
      <c r="H138" s="36"/>
      <c r="I138" s="36"/>
      <c r="J138" s="36"/>
      <c r="K138" s="6"/>
    </row>
    <row r="139" spans="1:11" ht="18.75">
      <c r="A139" s="6"/>
      <c r="B139" s="6"/>
      <c r="C139" s="29">
        <v>6</v>
      </c>
      <c r="D139" s="29">
        <v>250</v>
      </c>
      <c r="E139" s="7" t="s">
        <v>38</v>
      </c>
      <c r="F139" s="6"/>
      <c r="G139" s="6"/>
      <c r="H139" s="6">
        <f>PI()*C139^2*0.25*(1000/D139)</f>
        <v>113.09733552923255</v>
      </c>
      <c r="I139" s="6"/>
      <c r="J139" s="6"/>
      <c r="K139" s="6"/>
    </row>
    <row r="140" spans="1:1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ht="18.75">
      <c r="A141" s="6"/>
      <c r="B141" s="6"/>
      <c r="C141" s="6">
        <f>H139/(100*(I60-20))</f>
        <v>4.039190554615448E-3</v>
      </c>
      <c r="D141" s="6"/>
      <c r="E141" s="6"/>
      <c r="F141" s="26" t="str">
        <f>IF(C141&gt;=0.00175,"ok","Not ok")</f>
        <v>ok</v>
      </c>
      <c r="G141" s="6"/>
      <c r="H141" s="6"/>
      <c r="I141" s="6"/>
      <c r="J141" s="6"/>
      <c r="K141" s="6"/>
    </row>
    <row r="142" spans="1:1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  <row r="143" spans="1:1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</row>
    <row r="144" spans="1:11">
      <c r="A144" s="6"/>
      <c r="B144" s="6"/>
      <c r="C144" s="6"/>
      <c r="D144" s="6"/>
      <c r="E144" s="6"/>
      <c r="F144" s="6"/>
      <c r="G144" s="6"/>
      <c r="H144" s="48" t="s">
        <v>39</v>
      </c>
      <c r="I144" s="48"/>
      <c r="J144" s="48"/>
      <c r="K144" s="6"/>
    </row>
    <row r="145" spans="1:11">
      <c r="A145" s="6"/>
      <c r="B145" s="6"/>
      <c r="C145" s="6"/>
      <c r="D145" s="6"/>
      <c r="E145" s="6"/>
      <c r="F145" s="6"/>
      <c r="G145" s="6"/>
      <c r="H145" s="48"/>
      <c r="I145" s="48"/>
      <c r="J145" s="48"/>
      <c r="K145" s="6"/>
    </row>
    <row r="146" spans="1:11" ht="18.75">
      <c r="A146" s="6"/>
      <c r="B146" s="3">
        <v>1</v>
      </c>
      <c r="C146" s="7">
        <f>(((IF(B146=1,F7,IF(B146=2,F8,IF(B146=3,F9,IF(B146=4,F10,I7)))))))</f>
        <v>3400</v>
      </c>
      <c r="D146" s="21" t="s">
        <v>2</v>
      </c>
      <c r="E146" s="7">
        <f>C8</f>
        <v>175</v>
      </c>
      <c r="F146" s="6"/>
      <c r="G146" s="6"/>
      <c r="H146" s="48"/>
      <c r="I146" s="48"/>
      <c r="J146" s="48"/>
      <c r="K146" s="6"/>
    </row>
    <row r="147" spans="1:11">
      <c r="A147" s="6"/>
      <c r="B147" s="6"/>
      <c r="C147" s="6"/>
      <c r="D147" s="6"/>
      <c r="E147" s="6"/>
      <c r="F147" s="49" t="str">
        <f>IF(AND(C146&lt;=4000,E146&gt;350),"یک کلاف میانی احتیاج دارد",IF(AND((AND(C146&lt;=7000,C146&gt;4000)),E146&gt;350),"دو کلاف میانی احتیاج دارد",IF(AND(C146&lt;=4000,E146&gt;350),"سه کلاف میانی احتیاج دارد","به کلاف میانی احتیاج ندارد")))</f>
        <v>به کلاف میانی احتیاج ندارد</v>
      </c>
      <c r="G147" s="49"/>
      <c r="H147" s="49"/>
      <c r="I147" s="49"/>
      <c r="J147" s="6"/>
      <c r="K147" s="6"/>
    </row>
    <row r="148" spans="1:11">
      <c r="A148" s="6"/>
      <c r="B148" s="6"/>
      <c r="C148" s="6"/>
      <c r="D148" s="6"/>
      <c r="E148" s="6"/>
      <c r="F148" s="49"/>
      <c r="G148" s="49"/>
      <c r="H148" s="49"/>
      <c r="I148" s="49"/>
      <c r="J148" s="6"/>
      <c r="K148" s="6"/>
    </row>
    <row r="149" spans="1:11">
      <c r="A149" s="6"/>
      <c r="B149" s="6"/>
      <c r="C149" s="6"/>
      <c r="D149" s="6"/>
      <c r="E149" s="6"/>
      <c r="F149" s="49"/>
      <c r="G149" s="49"/>
      <c r="H149" s="49"/>
      <c r="I149" s="49"/>
      <c r="J149" s="6"/>
      <c r="K149" s="6"/>
    </row>
    <row r="150" spans="1:11">
      <c r="A150" s="6"/>
      <c r="B150" s="6"/>
      <c r="C150" s="6"/>
      <c r="D150" s="6">
        <f>0.5*D85</f>
        <v>4.0391071428571429E-3</v>
      </c>
      <c r="E150" s="6"/>
      <c r="F150" s="6"/>
      <c r="G150" s="6">
        <f>D150*100*(I60-20)</f>
        <v>113.095</v>
      </c>
      <c r="H150" s="6"/>
      <c r="I150" s="6"/>
      <c r="J150" s="6"/>
      <c r="K150" s="6"/>
    </row>
    <row r="151" spans="1:1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</row>
    <row r="152" spans="1:1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</row>
    <row r="153" spans="1:11" ht="18.75">
      <c r="A153" s="6"/>
      <c r="B153" s="30">
        <v>12</v>
      </c>
      <c r="C153" s="6"/>
      <c r="D153" s="6">
        <f>0.25*PI()*B153^2</f>
        <v>113.09733552923255</v>
      </c>
      <c r="E153" s="6"/>
      <c r="F153" s="6"/>
      <c r="G153" s="10">
        <f>ROUND(G150/D153,2)</f>
        <v>1</v>
      </c>
      <c r="H153" s="29">
        <v>2</v>
      </c>
      <c r="I153" s="6">
        <f>ROUND(H153*D153,2)</f>
        <v>226.19</v>
      </c>
      <c r="J153" s="25" t="str">
        <f>IF(I153&gt;=G150,"ok","Not ok")</f>
        <v>ok</v>
      </c>
      <c r="K153" s="6"/>
    </row>
    <row r="154" spans="1:1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</row>
    <row r="155" spans="1:11" ht="15" customHeight="1">
      <c r="A155" s="47" t="s">
        <v>41</v>
      </c>
      <c r="B155" s="47"/>
      <c r="C155" s="47"/>
      <c r="D155" s="47"/>
      <c r="E155" s="47"/>
      <c r="F155" s="47"/>
      <c r="G155" s="47"/>
      <c r="H155" s="47"/>
      <c r="I155" s="47"/>
      <c r="J155" s="47"/>
      <c r="K155" s="47"/>
    </row>
    <row r="156" spans="1:11" ht="15" customHeight="1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</row>
    <row r="157" spans="1:11" ht="15" customHeight="1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</row>
    <row r="158" spans="1:11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</row>
  </sheetData>
  <mergeCells count="28">
    <mergeCell ref="A155:K158"/>
    <mergeCell ref="H136:J138"/>
    <mergeCell ref="H144:J146"/>
    <mergeCell ref="F147:I149"/>
    <mergeCell ref="H116:J118"/>
    <mergeCell ref="F114:I115"/>
    <mergeCell ref="E114:E115"/>
    <mergeCell ref="D114:D115"/>
    <mergeCell ref="H131:J133"/>
    <mergeCell ref="A1:J6"/>
    <mergeCell ref="G16:J19"/>
    <mergeCell ref="H20:I21"/>
    <mergeCell ref="H24:I25"/>
    <mergeCell ref="B28:B29"/>
    <mergeCell ref="C51:C52"/>
    <mergeCell ref="D51:D52"/>
    <mergeCell ref="C28:C29"/>
    <mergeCell ref="G75:I77"/>
    <mergeCell ref="G87:J90"/>
    <mergeCell ref="C35:C36"/>
    <mergeCell ref="D35:D36"/>
    <mergeCell ref="B59:D61"/>
    <mergeCell ref="G64:J67"/>
    <mergeCell ref="C41:C42"/>
    <mergeCell ref="D41:D42"/>
    <mergeCell ref="C46:C47"/>
    <mergeCell ref="D46:D47"/>
    <mergeCell ref="G55:J58"/>
  </mergeCells>
  <dataValidations count="9">
    <dataValidation type="list" allowBlank="1" showInputMessage="1" showErrorMessage="1" sqref="B146 B133 B67 D35:D36 D41:D42 D46:D47 D51:D52 B91 D30 C28:C29 C119">
      <formula1>"1,2,3,4,5"</formula1>
    </dataValidation>
    <dataValidation type="list" allowBlank="1" showInputMessage="1" showErrorMessage="1" sqref="D91">
      <formula1>"A,B"</formula1>
    </dataValidation>
    <dataValidation type="list" allowBlank="1" showInputMessage="1" showErrorMessage="1" sqref="D67">
      <formula1>"C,D"</formula1>
    </dataValidation>
    <dataValidation type="list" allowBlank="1" showInputMessage="1" showErrorMessage="1" sqref="B59:D61">
      <formula1>"دو انتها ساده,دو انتها پیوسته,یک انتها ساده یک انتها پیوسته,کنسول"</formula1>
    </dataValidation>
    <dataValidation type="list" allowBlank="1" showInputMessage="1" showErrorMessage="1" sqref="C10">
      <formula1>"400,300"</formula1>
    </dataValidation>
    <dataValidation type="list" allowBlank="1" showInputMessage="1" showErrorMessage="1" sqref="B83">
      <formula1>"8,10,12,14,16"</formula1>
    </dataValidation>
    <dataValidation type="list" allowBlank="1" showInputMessage="1" showErrorMessage="1" sqref="H128 C139">
      <formula1>"6,8,10"</formula1>
    </dataValidation>
    <dataValidation type="list" allowBlank="1" showInputMessage="1" showErrorMessage="1" sqref="B153">
      <formula1>"12,14,16,18,20"</formula1>
    </dataValidation>
    <dataValidation type="list" allowBlank="1" showInputMessage="1" showErrorMessage="1" sqref="B110">
      <formula1>"8,10,12,14,16,18,20"</formula1>
    </dataValidation>
  </dataValidations>
  <pageMargins left="0.7" right="0.7" top="0.75" bottom="0.75" header="0.3" footer="0.3"/>
  <pageSetup orientation="portrait" horizontalDpi="3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b</vt:lpstr>
      <vt:lpstr>d</vt:lpstr>
      <vt:lpstr>d΄</vt:lpstr>
      <vt:lpstr>fc</vt:lpstr>
      <vt:lpstr>fy</vt:lpstr>
      <vt:lpstr>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jalil</dc:creator>
  <cp:lastModifiedBy>jalil</cp:lastModifiedBy>
  <dcterms:created xsi:type="dcterms:W3CDTF">2002-04-09T18:06:00Z</dcterms:created>
  <dcterms:modified xsi:type="dcterms:W3CDTF">2002-04-12T16:40:00Z</dcterms:modified>
</cp:coreProperties>
</file>