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4175" windowHeight="7875"/>
  </bookViews>
  <sheets>
    <sheet name="آرماتور خمشی(کششی+فشاری)" sheetId="1" r:id="rId1"/>
    <sheet name="آرماتور خمشی(کششی)" sheetId="2" r:id="rId2"/>
    <sheet name="برش," sheetId="4" r:id="rId3"/>
    <sheet name="برش در قاب خمشی ویزه" sheetId="5" r:id="rId4"/>
  </sheets>
  <definedNames>
    <definedName name="b">'آرماتور خمشی(کششی+فشاری)'!$D$9</definedName>
    <definedName name="d">'آرماتور خمشی(کششی+فشاری)'!$D$10</definedName>
    <definedName name="d΄">'آرماتور خمشی(کششی+فشاری)'!$D$11</definedName>
    <definedName name="fc">'آرماتور خمشی(کششی+فشاری)'!$G$9</definedName>
    <definedName name="fy">'آرماتور خمشی(کششی+فشاری)'!$G$10</definedName>
    <definedName name="Mu">'آرماتور خمشی(کششی+فشاری)'!$G$11</definedName>
  </definedNames>
  <calcPr calcId="124519"/>
</workbook>
</file>

<file path=xl/calcChain.xml><?xml version="1.0" encoding="utf-8"?>
<calcChain xmlns="http://schemas.openxmlformats.org/spreadsheetml/2006/main">
  <c r="G14" i="2"/>
  <c r="B12"/>
  <c r="B12" i="1"/>
  <c r="G14"/>
  <c r="I32" i="2"/>
  <c r="L80" i="5"/>
  <c r="D83"/>
  <c r="F82"/>
  <c r="E54"/>
  <c r="D54"/>
  <c r="F54" s="1"/>
  <c r="C63"/>
  <c r="H60" s="1"/>
  <c r="I80" s="1"/>
  <c r="E51"/>
  <c r="F51" s="1"/>
  <c r="E47"/>
  <c r="D45"/>
  <c r="B38"/>
  <c r="A37"/>
  <c r="J25"/>
  <c r="G25"/>
  <c r="D23"/>
  <c r="D21"/>
  <c r="D49" s="1"/>
  <c r="E19"/>
  <c r="A37" i="4"/>
  <c r="E47"/>
  <c r="E54" s="1"/>
  <c r="D45"/>
  <c r="I82"/>
  <c r="H82"/>
  <c r="E82"/>
  <c r="C82"/>
  <c r="B82"/>
  <c r="D59"/>
  <c r="F61" s="1"/>
  <c r="E52"/>
  <c r="B38"/>
  <c r="E19"/>
  <c r="J25"/>
  <c r="G25"/>
  <c r="E27" s="1"/>
  <c r="D23"/>
  <c r="G28" s="1"/>
  <c r="D21"/>
  <c r="D49" s="1"/>
  <c r="G65" s="1"/>
  <c r="G51" i="5" l="1"/>
  <c r="F60"/>
  <c r="F56"/>
  <c r="E27"/>
  <c r="G28" s="1"/>
  <c r="F49"/>
  <c r="G48" s="1"/>
  <c r="G60"/>
  <c r="E66" s="1"/>
  <c r="D68" s="1"/>
  <c r="E70" s="1"/>
  <c r="E56" i="4"/>
  <c r="G71"/>
  <c r="G68"/>
  <c r="E65"/>
  <c r="G79" s="1"/>
  <c r="F49"/>
  <c r="G48" s="1"/>
  <c r="D52"/>
  <c r="D54"/>
  <c r="F65"/>
  <c r="E75" s="1"/>
  <c r="D77" s="1"/>
  <c r="E79" s="1"/>
  <c r="D32" i="2"/>
  <c r="F38"/>
  <c r="D42" s="1"/>
  <c r="F57" i="1"/>
  <c r="D37"/>
  <c r="I42" i="2"/>
  <c r="Z26"/>
  <c r="Z27"/>
  <c r="Z28" s="1"/>
  <c r="Z30" s="1"/>
  <c r="H29" s="1"/>
  <c r="E17"/>
  <c r="F74" i="1"/>
  <c r="H74" s="1"/>
  <c r="H77" s="1"/>
  <c r="F60"/>
  <c r="H60" s="1"/>
  <c r="D66"/>
  <c r="D48"/>
  <c r="E17"/>
  <c r="D27" s="1"/>
  <c r="M32" i="2" l="1"/>
  <c r="N30"/>
  <c r="H80" i="5"/>
  <c r="J80" s="1"/>
  <c r="G70"/>
  <c r="I60"/>
  <c r="I65" i="4"/>
  <c r="E20" i="2"/>
  <c r="G23" s="1"/>
  <c r="G25" s="1"/>
  <c r="E20" i="1"/>
  <c r="G23" s="1"/>
  <c r="J32" i="2" l="1"/>
  <c r="G35"/>
  <c r="F42" s="1"/>
  <c r="E44" s="1"/>
  <c r="D31" i="1"/>
  <c r="D29"/>
  <c r="G25"/>
  <c r="E34" l="1"/>
  <c r="I34" s="1"/>
  <c r="M37" s="1"/>
  <c r="F45"/>
  <c r="H48" l="1"/>
  <c r="M48"/>
  <c r="I48"/>
  <c r="J48" s="1"/>
  <c r="H37"/>
  <c r="I37" s="1"/>
  <c r="G51"/>
  <c r="F63" s="1"/>
  <c r="I66" s="1"/>
  <c r="J37"/>
  <c r="G40"/>
  <c r="C77" l="1"/>
  <c r="D81" s="1"/>
  <c r="F66"/>
  <c r="D69" s="1"/>
</calcChain>
</file>

<file path=xl/sharedStrings.xml><?xml version="1.0" encoding="utf-8"?>
<sst xmlns="http://schemas.openxmlformats.org/spreadsheetml/2006/main" count="114" uniqueCount="38">
  <si>
    <t>چک کردن مقطع با فولاد کششی</t>
  </si>
  <si>
    <t>b=</t>
  </si>
  <si>
    <t>d=</t>
  </si>
  <si>
    <r>
      <t>d</t>
    </r>
    <r>
      <rPr>
        <sz val="11"/>
        <color theme="1"/>
        <rFont val="Calibri"/>
        <family val="2"/>
        <charset val="204"/>
      </rPr>
      <t>΄</t>
    </r>
    <r>
      <rPr>
        <sz val="11"/>
        <color theme="1"/>
        <rFont val="Arial"/>
        <family val="2"/>
        <scheme val="minor"/>
      </rPr>
      <t>=</t>
    </r>
  </si>
  <si>
    <t>fc=</t>
  </si>
  <si>
    <r>
      <t>fy=f</t>
    </r>
    <r>
      <rPr>
        <sz val="11"/>
        <color theme="1"/>
        <rFont val="Calibri"/>
        <family val="2"/>
        <charset val="204"/>
      </rPr>
      <t>΄</t>
    </r>
    <r>
      <rPr>
        <sz val="11"/>
        <color theme="1"/>
        <rFont val="Calibri"/>
        <family val="2"/>
      </rPr>
      <t>y=</t>
    </r>
  </si>
  <si>
    <t>Mu=</t>
  </si>
  <si>
    <t>m.m</t>
  </si>
  <si>
    <t>Mpa</t>
  </si>
  <si>
    <t>KN-m</t>
  </si>
  <si>
    <t>m.m2</t>
  </si>
  <si>
    <t>→</t>
  </si>
  <si>
    <r>
      <t>m.m2</t>
    </r>
    <r>
      <rPr>
        <sz val="18"/>
        <color rgb="FFFF0000"/>
        <rFont val="Calibri"/>
        <family val="2"/>
        <charset val="204"/>
      </rPr>
      <t>→</t>
    </r>
  </si>
  <si>
    <t>طراحی آرماتور خمشی تیرها</t>
  </si>
  <si>
    <t>آرماتور کششی</t>
  </si>
  <si>
    <t>آرماتور فشاری</t>
  </si>
  <si>
    <t>کنترل جاری شدن آرماتور کششی</t>
  </si>
  <si>
    <t>کنترل جاری شدن آرماتورفشاری</t>
  </si>
  <si>
    <t>h=</t>
  </si>
  <si>
    <t>fy=</t>
  </si>
  <si>
    <t>kN</t>
  </si>
  <si>
    <t>kN.m</t>
  </si>
  <si>
    <t>m</t>
  </si>
  <si>
    <t>L=</t>
  </si>
  <si>
    <t>احتیاج به خاموت  حداقل دارد</t>
  </si>
  <si>
    <t>احتیاج به خاموت محاسباتی دارد</t>
  </si>
  <si>
    <t>احتیاج به خاموت ندارد ولی از خاموت حداقل استفاده میکنیم</t>
  </si>
  <si>
    <t xml:space="preserve"> </t>
  </si>
  <si>
    <r>
      <t xml:space="preserve">محدوده  </t>
    </r>
    <r>
      <rPr>
        <sz val="20"/>
        <color theme="1"/>
        <rFont val="Times New Roman"/>
        <family val="1"/>
        <charset val="204"/>
        <scheme val="major"/>
      </rPr>
      <t xml:space="preserve">c  </t>
    </r>
  </si>
  <si>
    <r>
      <t xml:space="preserve">محدوده  </t>
    </r>
    <r>
      <rPr>
        <sz val="20"/>
        <color theme="1"/>
        <rFont val="Times New Roman"/>
        <family val="1"/>
        <charset val="204"/>
        <scheme val="major"/>
      </rPr>
      <t>b</t>
    </r>
  </si>
  <si>
    <r>
      <t xml:space="preserve">محدوده </t>
    </r>
    <r>
      <rPr>
        <sz val="20"/>
        <color theme="1"/>
        <rFont val="Times New Roman"/>
        <family val="1"/>
        <charset val="204"/>
        <scheme val="major"/>
      </rPr>
      <t>a</t>
    </r>
  </si>
  <si>
    <t>اقتصادی کردن طرح</t>
  </si>
  <si>
    <t xml:space="preserve">طراحی آرماتور برشی در ناحیه چپ تیر </t>
  </si>
  <si>
    <t>برای  قرار دادن  خاموت  ها  دو   عدد    آرماتور  طولی  در قسمت   فشاری   بتن تعبیه   می کنیم که  هم اندازه  و هم  نوع   آرماتور خاموت ها   باشد.</t>
  </si>
  <si>
    <t>طراحی تیر تحت اثر برش</t>
  </si>
  <si>
    <t>ضوابط  تنگ ویژ ه</t>
  </si>
  <si>
    <t>مقطع دارای آرماتور فشاری است</t>
  </si>
  <si>
    <t>طراحی آرماتور خمشی تیر</t>
  </si>
</sst>
</file>

<file path=xl/styles.xml><?xml version="1.0" encoding="utf-8"?>
<styleSheet xmlns="http://schemas.openxmlformats.org/spreadsheetml/2006/main">
  <fonts count="27">
    <font>
      <sz val="11"/>
      <color theme="1"/>
      <name val="Arial"/>
      <family val="2"/>
      <scheme val="minor"/>
    </font>
    <font>
      <sz val="22"/>
      <color theme="1"/>
      <name val="Arial"/>
      <family val="2"/>
      <charset val="204"/>
      <scheme val="minor"/>
    </font>
    <font>
      <sz val="36"/>
      <color theme="1"/>
      <name val="IranNastaliq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  <font>
      <sz val="20"/>
      <color theme="1"/>
      <name val="IranNastaliq"/>
      <family val="1"/>
      <charset val="204"/>
    </font>
    <font>
      <sz val="22"/>
      <color theme="1"/>
      <name val="IranNastaliq"/>
      <family val="1"/>
      <charset val="204"/>
    </font>
    <font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sz val="18"/>
      <color rgb="FFFF0000"/>
      <name val="Calibri"/>
      <family val="2"/>
      <charset val="204"/>
    </font>
    <font>
      <sz val="16"/>
      <color rgb="FFFF0000"/>
      <name val="Arial"/>
      <family val="2"/>
      <charset val="204"/>
      <scheme val="minor"/>
    </font>
    <font>
      <sz val="20"/>
      <color theme="1"/>
      <name val="Arial"/>
      <family val="2"/>
      <scheme val="minor"/>
    </font>
    <font>
      <sz val="16"/>
      <color rgb="FFFF0000"/>
      <name val="Arial"/>
      <family val="2"/>
      <scheme val="minor"/>
    </font>
    <font>
      <sz val="22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sz val="18"/>
      <color theme="1"/>
      <name val="IranNastaliq"/>
      <family val="1"/>
      <charset val="204"/>
    </font>
    <font>
      <sz val="28"/>
      <color theme="1"/>
      <name val="IranNastaliq"/>
      <family val="1"/>
      <charset val="204"/>
    </font>
    <font>
      <sz val="14"/>
      <color rgb="FFFF0000"/>
      <name val="Arial"/>
      <family val="2"/>
      <scheme val="minor"/>
    </font>
    <font>
      <sz val="20"/>
      <color theme="1"/>
      <name val="Times New Roman"/>
      <family val="1"/>
      <charset val="204"/>
      <scheme val="major"/>
    </font>
    <font>
      <sz val="22"/>
      <color theme="9" tint="-0.499984740745262"/>
      <name val="IranNastaliq"/>
      <family val="1"/>
      <charset val="204"/>
    </font>
    <font>
      <sz val="24"/>
      <color theme="9" tint="-0.499984740745262"/>
      <name val="IranNastaliq"/>
      <family val="1"/>
      <charset val="204"/>
    </font>
    <font>
      <sz val="20"/>
      <color theme="9" tint="-0.499984740745262"/>
      <name val="IranNastaliq"/>
      <family val="1"/>
      <charset val="204"/>
    </font>
    <font>
      <sz val="11"/>
      <color theme="9" tint="-0.499984740745262"/>
      <name val="Arial"/>
      <family val="2"/>
      <scheme val="minor"/>
    </font>
    <font>
      <sz val="14"/>
      <color theme="9" tint="-0.499984740745262"/>
      <name val="Arial"/>
      <family val="2"/>
      <scheme val="minor"/>
    </font>
    <font>
      <sz val="11"/>
      <name val="Arial"/>
      <family val="2"/>
      <scheme val="minor"/>
    </font>
    <font>
      <sz val="18"/>
      <color theme="9" tint="-0.499984740745262"/>
      <name val="IranNastaliq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/>
    </xf>
    <xf numFmtId="0" fontId="3" fillId="3" borderId="0" xfId="0" applyFont="1" applyFill="1"/>
    <xf numFmtId="0" fontId="9" fillId="3" borderId="0" xfId="0" applyFont="1" applyFill="1"/>
    <xf numFmtId="0" fontId="11" fillId="3" borderId="0" xfId="0" applyFont="1" applyFill="1"/>
    <xf numFmtId="0" fontId="8" fillId="3" borderId="0" xfId="0" applyFont="1" applyFill="1" applyAlignment="1">
      <alignment horizontal="left"/>
    </xf>
    <xf numFmtId="0" fontId="8" fillId="3" borderId="0" xfId="0" applyFont="1" applyFill="1" applyAlignment="1">
      <alignment horizontal="center"/>
    </xf>
    <xf numFmtId="0" fontId="13" fillId="3" borderId="0" xfId="0" applyFont="1" applyFill="1"/>
    <xf numFmtId="0" fontId="0" fillId="3" borderId="0" xfId="0" applyFill="1" applyAlignment="1">
      <alignment horizontal="center" vertical="center"/>
    </xf>
    <xf numFmtId="0" fontId="7" fillId="3" borderId="0" xfId="0" applyFont="1" applyFill="1" applyAlignment="1">
      <alignment horizontal="left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/>
    <xf numFmtId="0" fontId="0" fillId="3" borderId="0" xfId="0" applyFill="1" applyAlignment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16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8" fillId="3" borderId="0" xfId="0" applyFont="1" applyFill="1"/>
    <xf numFmtId="0" fontId="0" fillId="3" borderId="0" xfId="0" applyFill="1" applyAlignment="1">
      <alignment horizontal="center" vertical="top"/>
    </xf>
    <xf numFmtId="0" fontId="24" fillId="3" borderId="0" xfId="0" applyFont="1" applyFill="1"/>
    <xf numFmtId="0" fontId="5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center"/>
    </xf>
    <xf numFmtId="0" fontId="25" fillId="3" borderId="0" xfId="0" applyFont="1" applyFill="1"/>
    <xf numFmtId="0" fontId="17" fillId="3" borderId="0" xfId="0" applyFont="1" applyFill="1" applyAlignment="1">
      <alignment horizontal="center"/>
    </xf>
    <xf numFmtId="0" fontId="20" fillId="3" borderId="0" xfId="0" applyFont="1" applyFill="1" applyAlignment="1">
      <alignment vertical="top"/>
    </xf>
    <xf numFmtId="0" fontId="0" fillId="3" borderId="0" xfId="0" applyFill="1" applyAlignment="1">
      <alignment vertical="center"/>
    </xf>
    <xf numFmtId="0" fontId="0" fillId="0" borderId="0" xfId="0" applyAlignment="1"/>
    <xf numFmtId="0" fontId="24" fillId="3" borderId="0" xfId="0" applyFont="1" applyFill="1" applyAlignment="1">
      <alignment horizontal="center"/>
    </xf>
    <xf numFmtId="0" fontId="0" fillId="2" borderId="0" xfId="0" applyFill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0" fillId="3" borderId="0" xfId="0" applyFill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6" fillId="3" borderId="0" xfId="0" applyFont="1" applyFill="1" applyAlignment="1">
      <alignment horizontal="center" vertical="top"/>
    </xf>
    <xf numFmtId="0" fontId="14" fillId="3" borderId="0" xfId="0" applyFont="1" applyFill="1" applyAlignment="1">
      <alignment horizontal="center" vertical="top"/>
    </xf>
    <xf numFmtId="0" fontId="20" fillId="3" borderId="0" xfId="0" applyFont="1" applyFill="1" applyAlignment="1">
      <alignment horizontal="center" vertical="top"/>
    </xf>
    <xf numFmtId="0" fontId="20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right" vertical="top"/>
    </xf>
    <xf numFmtId="0" fontId="5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top"/>
    </xf>
    <xf numFmtId="0" fontId="15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/>
    </xf>
    <xf numFmtId="0" fontId="22" fillId="3" borderId="0" xfId="0" applyFont="1" applyFill="1" applyAlignment="1">
      <alignment horizontal="right" vertical="top"/>
    </xf>
    <xf numFmtId="0" fontId="20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2" fillId="3" borderId="0" xfId="0" applyFont="1" applyFill="1" applyAlignment="1">
      <alignment horizontal="right" vertical="center"/>
    </xf>
    <xf numFmtId="0" fontId="23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right" vertical="top"/>
    </xf>
    <xf numFmtId="0" fontId="22" fillId="2" borderId="0" xfId="0" applyFont="1" applyFill="1" applyAlignment="1" applyProtection="1">
      <alignment horizontal="center" vertical="center"/>
      <protection locked="0"/>
    </xf>
    <xf numFmtId="0" fontId="26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image" Target="../media/image24.png"/><Relationship Id="rId3" Type="http://schemas.openxmlformats.org/officeDocument/2006/relationships/image" Target="../media/image3.png"/><Relationship Id="rId7" Type="http://schemas.openxmlformats.org/officeDocument/2006/relationships/image" Target="../media/image17.png"/><Relationship Id="rId12" Type="http://schemas.openxmlformats.org/officeDocument/2006/relationships/image" Target="../media/image2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10.png"/><Relationship Id="rId11" Type="http://schemas.openxmlformats.org/officeDocument/2006/relationships/image" Target="../media/image18.png"/><Relationship Id="rId5" Type="http://schemas.openxmlformats.org/officeDocument/2006/relationships/image" Target="../media/image30.png"/><Relationship Id="rId15" Type="http://schemas.openxmlformats.org/officeDocument/2006/relationships/image" Target="../media/image29.png"/><Relationship Id="rId10" Type="http://schemas.openxmlformats.org/officeDocument/2006/relationships/image" Target="../media/image15.png"/><Relationship Id="rId4" Type="http://schemas.openxmlformats.org/officeDocument/2006/relationships/image" Target="../media/image4.png"/><Relationship Id="rId9" Type="http://schemas.openxmlformats.org/officeDocument/2006/relationships/image" Target="../media/image13.png"/><Relationship Id="rId14" Type="http://schemas.openxmlformats.org/officeDocument/2006/relationships/image" Target="../media/image2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8.png"/><Relationship Id="rId13" Type="http://schemas.openxmlformats.org/officeDocument/2006/relationships/image" Target="../media/image43.emf"/><Relationship Id="rId18" Type="http://schemas.openxmlformats.org/officeDocument/2006/relationships/image" Target="../media/image48.png"/><Relationship Id="rId26" Type="http://schemas.openxmlformats.org/officeDocument/2006/relationships/image" Target="../media/image56.png"/><Relationship Id="rId3" Type="http://schemas.openxmlformats.org/officeDocument/2006/relationships/image" Target="../media/image33.png"/><Relationship Id="rId21" Type="http://schemas.openxmlformats.org/officeDocument/2006/relationships/image" Target="../media/image51.png"/><Relationship Id="rId7" Type="http://schemas.openxmlformats.org/officeDocument/2006/relationships/image" Target="../media/image37.png"/><Relationship Id="rId12" Type="http://schemas.openxmlformats.org/officeDocument/2006/relationships/image" Target="../media/image42.png"/><Relationship Id="rId17" Type="http://schemas.openxmlformats.org/officeDocument/2006/relationships/image" Target="../media/image47.png"/><Relationship Id="rId25" Type="http://schemas.openxmlformats.org/officeDocument/2006/relationships/image" Target="../media/image55.png"/><Relationship Id="rId2" Type="http://schemas.openxmlformats.org/officeDocument/2006/relationships/image" Target="../media/image32.png"/><Relationship Id="rId16" Type="http://schemas.openxmlformats.org/officeDocument/2006/relationships/image" Target="../media/image46.png"/><Relationship Id="rId20" Type="http://schemas.openxmlformats.org/officeDocument/2006/relationships/image" Target="../media/image50.png"/><Relationship Id="rId29" Type="http://schemas.openxmlformats.org/officeDocument/2006/relationships/image" Target="../media/image59.emf"/><Relationship Id="rId1" Type="http://schemas.openxmlformats.org/officeDocument/2006/relationships/image" Target="../media/image31.emf"/><Relationship Id="rId6" Type="http://schemas.openxmlformats.org/officeDocument/2006/relationships/image" Target="../media/image36.png"/><Relationship Id="rId11" Type="http://schemas.openxmlformats.org/officeDocument/2006/relationships/image" Target="../media/image41.png"/><Relationship Id="rId24" Type="http://schemas.openxmlformats.org/officeDocument/2006/relationships/image" Target="../media/image54.png"/><Relationship Id="rId5" Type="http://schemas.openxmlformats.org/officeDocument/2006/relationships/image" Target="../media/image35.png"/><Relationship Id="rId15" Type="http://schemas.openxmlformats.org/officeDocument/2006/relationships/image" Target="../media/image45.png"/><Relationship Id="rId23" Type="http://schemas.openxmlformats.org/officeDocument/2006/relationships/image" Target="../media/image53.png"/><Relationship Id="rId28" Type="http://schemas.openxmlformats.org/officeDocument/2006/relationships/image" Target="../media/image58.png"/><Relationship Id="rId10" Type="http://schemas.openxmlformats.org/officeDocument/2006/relationships/image" Target="../media/image40.png"/><Relationship Id="rId19" Type="http://schemas.openxmlformats.org/officeDocument/2006/relationships/image" Target="../media/image49.png"/><Relationship Id="rId31" Type="http://schemas.openxmlformats.org/officeDocument/2006/relationships/image" Target="../media/image61.png"/><Relationship Id="rId4" Type="http://schemas.openxmlformats.org/officeDocument/2006/relationships/image" Target="../media/image34.png"/><Relationship Id="rId9" Type="http://schemas.openxmlformats.org/officeDocument/2006/relationships/image" Target="../media/image39.png"/><Relationship Id="rId14" Type="http://schemas.openxmlformats.org/officeDocument/2006/relationships/image" Target="../media/image44.emf"/><Relationship Id="rId22" Type="http://schemas.openxmlformats.org/officeDocument/2006/relationships/image" Target="../media/image52.png"/><Relationship Id="rId27" Type="http://schemas.openxmlformats.org/officeDocument/2006/relationships/image" Target="../media/image57.png"/><Relationship Id="rId30" Type="http://schemas.openxmlformats.org/officeDocument/2006/relationships/image" Target="../media/image60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8.png"/><Relationship Id="rId13" Type="http://schemas.openxmlformats.org/officeDocument/2006/relationships/image" Target="../media/image43.emf"/><Relationship Id="rId18" Type="http://schemas.openxmlformats.org/officeDocument/2006/relationships/image" Target="../media/image49.png"/><Relationship Id="rId26" Type="http://schemas.openxmlformats.org/officeDocument/2006/relationships/image" Target="../media/image61.png"/><Relationship Id="rId3" Type="http://schemas.openxmlformats.org/officeDocument/2006/relationships/image" Target="../media/image33.png"/><Relationship Id="rId21" Type="http://schemas.openxmlformats.org/officeDocument/2006/relationships/image" Target="../media/image54.png"/><Relationship Id="rId7" Type="http://schemas.openxmlformats.org/officeDocument/2006/relationships/image" Target="../media/image37.png"/><Relationship Id="rId12" Type="http://schemas.openxmlformats.org/officeDocument/2006/relationships/image" Target="../media/image42.png"/><Relationship Id="rId17" Type="http://schemas.openxmlformats.org/officeDocument/2006/relationships/image" Target="../media/image47.png"/><Relationship Id="rId25" Type="http://schemas.openxmlformats.org/officeDocument/2006/relationships/image" Target="../media/image58.png"/><Relationship Id="rId33" Type="http://schemas.openxmlformats.org/officeDocument/2006/relationships/image" Target="../media/image68.png"/><Relationship Id="rId2" Type="http://schemas.openxmlformats.org/officeDocument/2006/relationships/image" Target="../media/image32.png"/><Relationship Id="rId16" Type="http://schemas.openxmlformats.org/officeDocument/2006/relationships/image" Target="../media/image46.png"/><Relationship Id="rId20" Type="http://schemas.openxmlformats.org/officeDocument/2006/relationships/image" Target="../media/image53.png"/><Relationship Id="rId29" Type="http://schemas.openxmlformats.org/officeDocument/2006/relationships/image" Target="../media/image64.png"/><Relationship Id="rId1" Type="http://schemas.openxmlformats.org/officeDocument/2006/relationships/image" Target="../media/image31.emf"/><Relationship Id="rId6" Type="http://schemas.openxmlformats.org/officeDocument/2006/relationships/image" Target="../media/image36.png"/><Relationship Id="rId11" Type="http://schemas.openxmlformats.org/officeDocument/2006/relationships/image" Target="../media/image41.png"/><Relationship Id="rId24" Type="http://schemas.openxmlformats.org/officeDocument/2006/relationships/image" Target="../media/image57.png"/><Relationship Id="rId32" Type="http://schemas.openxmlformats.org/officeDocument/2006/relationships/image" Target="../media/image67.png"/><Relationship Id="rId5" Type="http://schemas.openxmlformats.org/officeDocument/2006/relationships/image" Target="../media/image35.png"/><Relationship Id="rId15" Type="http://schemas.openxmlformats.org/officeDocument/2006/relationships/image" Target="../media/image45.png"/><Relationship Id="rId23" Type="http://schemas.openxmlformats.org/officeDocument/2006/relationships/image" Target="../media/image56.png"/><Relationship Id="rId28" Type="http://schemas.openxmlformats.org/officeDocument/2006/relationships/image" Target="../media/image63.png"/><Relationship Id="rId10" Type="http://schemas.openxmlformats.org/officeDocument/2006/relationships/image" Target="../media/image40.png"/><Relationship Id="rId19" Type="http://schemas.openxmlformats.org/officeDocument/2006/relationships/image" Target="../media/image50.png"/><Relationship Id="rId31" Type="http://schemas.openxmlformats.org/officeDocument/2006/relationships/image" Target="../media/image66.png"/><Relationship Id="rId4" Type="http://schemas.openxmlformats.org/officeDocument/2006/relationships/image" Target="../media/image34.png"/><Relationship Id="rId9" Type="http://schemas.openxmlformats.org/officeDocument/2006/relationships/image" Target="../media/image39.png"/><Relationship Id="rId14" Type="http://schemas.openxmlformats.org/officeDocument/2006/relationships/image" Target="../media/image44.emf"/><Relationship Id="rId22" Type="http://schemas.openxmlformats.org/officeDocument/2006/relationships/image" Target="../media/image55.png"/><Relationship Id="rId27" Type="http://schemas.openxmlformats.org/officeDocument/2006/relationships/image" Target="../media/image62.png"/><Relationship Id="rId30" Type="http://schemas.openxmlformats.org/officeDocument/2006/relationships/image" Target="../media/image6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12</xdr:row>
      <xdr:rowOff>104775</xdr:rowOff>
    </xdr:from>
    <xdr:to>
      <xdr:col>6</xdr:col>
      <xdr:colOff>9525</xdr:colOff>
      <xdr:row>14</xdr:row>
      <xdr:rowOff>133350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6250" y="2800350"/>
          <a:ext cx="3190875" cy="4095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457199</xdr:colOff>
      <xdr:row>15</xdr:row>
      <xdr:rowOff>190499</xdr:rowOff>
    </xdr:from>
    <xdr:to>
      <xdr:col>3</xdr:col>
      <xdr:colOff>600074</xdr:colOff>
      <xdr:row>17</xdr:row>
      <xdr:rowOff>66674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199" y="3457574"/>
          <a:ext cx="19716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409574</xdr:colOff>
      <xdr:row>18</xdr:row>
      <xdr:rowOff>85725</xdr:rowOff>
    </xdr:from>
    <xdr:to>
      <xdr:col>4</xdr:col>
      <xdr:colOff>38099</xdr:colOff>
      <xdr:row>20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9574" y="3924300"/>
          <a:ext cx="2066925" cy="438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466725</xdr:colOff>
      <xdr:row>21</xdr:row>
      <xdr:rowOff>104775</xdr:rowOff>
    </xdr:from>
    <xdr:to>
      <xdr:col>5</xdr:col>
      <xdr:colOff>600075</xdr:colOff>
      <xdr:row>23</xdr:row>
      <xdr:rowOff>142875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4514850"/>
          <a:ext cx="3181350" cy="4191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466725</xdr:colOff>
      <xdr:row>25</xdr:row>
      <xdr:rowOff>228601</xdr:rowOff>
    </xdr:from>
    <xdr:to>
      <xdr:col>2</xdr:col>
      <xdr:colOff>552450</xdr:colOff>
      <xdr:row>27</xdr:row>
      <xdr:rowOff>9526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5400676"/>
          <a:ext cx="1304925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438150</xdr:colOff>
      <xdr:row>27</xdr:row>
      <xdr:rowOff>161924</xdr:rowOff>
    </xdr:from>
    <xdr:to>
      <xdr:col>2</xdr:col>
      <xdr:colOff>581025</xdr:colOff>
      <xdr:row>29</xdr:row>
      <xdr:rowOff>38099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8150" y="5476874"/>
          <a:ext cx="13620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29</xdr:row>
      <xdr:rowOff>142875</xdr:rowOff>
    </xdr:from>
    <xdr:to>
      <xdr:col>2</xdr:col>
      <xdr:colOff>581025</xdr:colOff>
      <xdr:row>31</xdr:row>
      <xdr:rowOff>38100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5838825"/>
          <a:ext cx="134302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438151</xdr:colOff>
      <xdr:row>32</xdr:row>
      <xdr:rowOff>161925</xdr:rowOff>
    </xdr:from>
    <xdr:to>
      <xdr:col>4</xdr:col>
      <xdr:colOff>19051</xdr:colOff>
      <xdr:row>34</xdr:row>
      <xdr:rowOff>152400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8151" y="6734175"/>
          <a:ext cx="2019300" cy="476250"/>
        </a:xfrm>
        <a:prstGeom prst="rect">
          <a:avLst/>
        </a:prstGeom>
        <a:noFill/>
      </xdr:spPr>
    </xdr:pic>
    <xdr:clientData/>
  </xdr:twoCellAnchor>
  <xdr:twoCellAnchor>
    <xdr:from>
      <xdr:col>6</xdr:col>
      <xdr:colOff>9526</xdr:colOff>
      <xdr:row>33</xdr:row>
      <xdr:rowOff>47624</xdr:rowOff>
    </xdr:from>
    <xdr:to>
      <xdr:col>8</xdr:col>
      <xdr:colOff>9526</xdr:colOff>
      <xdr:row>34</xdr:row>
      <xdr:rowOff>47624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67126" y="6505574"/>
          <a:ext cx="1219200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438149</xdr:colOff>
      <xdr:row>35</xdr:row>
      <xdr:rowOff>38100</xdr:rowOff>
    </xdr:from>
    <xdr:to>
      <xdr:col>1</xdr:col>
      <xdr:colOff>57150</xdr:colOff>
      <xdr:row>38</xdr:row>
      <xdr:rowOff>0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8149" y="6981825"/>
          <a:ext cx="228601" cy="6572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247650</xdr:colOff>
      <xdr:row>35</xdr:row>
      <xdr:rowOff>180975</xdr:rowOff>
    </xdr:from>
    <xdr:to>
      <xdr:col>3</xdr:col>
      <xdr:colOff>57150</xdr:colOff>
      <xdr:row>37</xdr:row>
      <xdr:rowOff>47625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66850" y="7429500"/>
          <a:ext cx="419100" cy="3238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209550</xdr:colOff>
      <xdr:row>35</xdr:row>
      <xdr:rowOff>104776</xdr:rowOff>
    </xdr:from>
    <xdr:to>
      <xdr:col>6</xdr:col>
      <xdr:colOff>590550</xdr:colOff>
      <xdr:row>37</xdr:row>
      <xdr:rowOff>66676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57550" y="7353301"/>
          <a:ext cx="990600" cy="4191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190501</xdr:colOff>
      <xdr:row>35</xdr:row>
      <xdr:rowOff>180975</xdr:rowOff>
    </xdr:from>
    <xdr:to>
      <xdr:col>8</xdr:col>
      <xdr:colOff>57150</xdr:colOff>
      <xdr:row>37</xdr:row>
      <xdr:rowOff>47625</xdr:rowOff>
    </xdr:to>
    <xdr:pic>
      <xdr:nvPicPr>
        <xdr:cNvPr id="104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57701" y="7429500"/>
          <a:ext cx="476249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504825</xdr:colOff>
      <xdr:row>43</xdr:row>
      <xdr:rowOff>66676</xdr:rowOff>
    </xdr:from>
    <xdr:to>
      <xdr:col>5</xdr:col>
      <xdr:colOff>0</xdr:colOff>
      <xdr:row>45</xdr:row>
      <xdr:rowOff>161926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9296401"/>
          <a:ext cx="2543175" cy="4762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133350</xdr:colOff>
      <xdr:row>38</xdr:row>
      <xdr:rowOff>95250</xdr:rowOff>
    </xdr:from>
    <xdr:to>
      <xdr:col>5</xdr:col>
      <xdr:colOff>571500</xdr:colOff>
      <xdr:row>40</xdr:row>
      <xdr:rowOff>142875</xdr:rowOff>
    </xdr:to>
    <xdr:pic>
      <xdr:nvPicPr>
        <xdr:cNvPr id="104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71750" y="8181975"/>
          <a:ext cx="1047750" cy="4286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428625</xdr:colOff>
      <xdr:row>45</xdr:row>
      <xdr:rowOff>171451</xdr:rowOff>
    </xdr:from>
    <xdr:to>
      <xdr:col>1</xdr:col>
      <xdr:colOff>38101</xdr:colOff>
      <xdr:row>49</xdr:row>
      <xdr:rowOff>76201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8625" y="9782176"/>
          <a:ext cx="219076" cy="7429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228601</xdr:colOff>
      <xdr:row>46</xdr:row>
      <xdr:rowOff>180975</xdr:rowOff>
    </xdr:from>
    <xdr:to>
      <xdr:col>3</xdr:col>
      <xdr:colOff>57150</xdr:colOff>
      <xdr:row>48</xdr:row>
      <xdr:rowOff>38100</xdr:rowOff>
    </xdr:to>
    <xdr:pic>
      <xdr:nvPicPr>
        <xdr:cNvPr id="105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47801" y="9982200"/>
          <a:ext cx="438149" cy="3143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209550</xdr:colOff>
      <xdr:row>46</xdr:row>
      <xdr:rowOff>133350</xdr:rowOff>
    </xdr:from>
    <xdr:to>
      <xdr:col>6</xdr:col>
      <xdr:colOff>590550</xdr:colOff>
      <xdr:row>48</xdr:row>
      <xdr:rowOff>95250</xdr:rowOff>
    </xdr:to>
    <xdr:pic>
      <xdr:nvPicPr>
        <xdr:cNvPr id="29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57550" y="9934575"/>
          <a:ext cx="990600" cy="4191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161925</xdr:colOff>
      <xdr:row>47</xdr:row>
      <xdr:rowOff>9525</xdr:rowOff>
    </xdr:from>
    <xdr:to>
      <xdr:col>8</xdr:col>
      <xdr:colOff>28574</xdr:colOff>
      <xdr:row>48</xdr:row>
      <xdr:rowOff>66675</xdr:rowOff>
    </xdr:to>
    <xdr:pic>
      <xdr:nvPicPr>
        <xdr:cNvPr id="30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29125" y="10001250"/>
          <a:ext cx="476249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552451</xdr:colOff>
      <xdr:row>55</xdr:row>
      <xdr:rowOff>47625</xdr:rowOff>
    </xdr:from>
    <xdr:to>
      <xdr:col>5</xdr:col>
      <xdr:colOff>28575</xdr:colOff>
      <xdr:row>57</xdr:row>
      <xdr:rowOff>152400</xdr:rowOff>
    </xdr:to>
    <xdr:pic>
      <xdr:nvPicPr>
        <xdr:cNvPr id="105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2451" y="11830050"/>
          <a:ext cx="2524124" cy="485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542925</xdr:colOff>
      <xdr:row>58</xdr:row>
      <xdr:rowOff>28575</xdr:rowOff>
    </xdr:from>
    <xdr:to>
      <xdr:col>5</xdr:col>
      <xdr:colOff>28575</xdr:colOff>
      <xdr:row>60</xdr:row>
      <xdr:rowOff>152400</xdr:rowOff>
    </xdr:to>
    <xdr:pic>
      <xdr:nvPicPr>
        <xdr:cNvPr id="10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2925" y="12382500"/>
          <a:ext cx="2533650" cy="5143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523875</xdr:colOff>
      <xdr:row>58</xdr:row>
      <xdr:rowOff>152400</xdr:rowOff>
    </xdr:from>
    <xdr:to>
      <xdr:col>7</xdr:col>
      <xdr:colOff>19050</xdr:colOff>
      <xdr:row>60</xdr:row>
      <xdr:rowOff>47625</xdr:rowOff>
    </xdr:to>
    <xdr:pic>
      <xdr:nvPicPr>
        <xdr:cNvPr id="105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571875" y="12506325"/>
          <a:ext cx="714375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542926</xdr:colOff>
      <xdr:row>61</xdr:row>
      <xdr:rowOff>38100</xdr:rowOff>
    </xdr:from>
    <xdr:to>
      <xdr:col>5</xdr:col>
      <xdr:colOff>9525</xdr:colOff>
      <xdr:row>63</xdr:row>
      <xdr:rowOff>161925</xdr:rowOff>
    </xdr:to>
    <xdr:pic>
      <xdr:nvPicPr>
        <xdr:cNvPr id="105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2926" y="12973050"/>
          <a:ext cx="2514599" cy="5048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152401</xdr:colOff>
      <xdr:row>49</xdr:row>
      <xdr:rowOff>47625</xdr:rowOff>
    </xdr:from>
    <xdr:to>
      <xdr:col>5</xdr:col>
      <xdr:colOff>600075</xdr:colOff>
      <xdr:row>51</xdr:row>
      <xdr:rowOff>142875</xdr:rowOff>
    </xdr:to>
    <xdr:pic>
      <xdr:nvPicPr>
        <xdr:cNvPr id="1058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90801" y="10496550"/>
          <a:ext cx="1057274" cy="4762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323851</xdr:colOff>
      <xdr:row>64</xdr:row>
      <xdr:rowOff>161925</xdr:rowOff>
    </xdr:from>
    <xdr:to>
      <xdr:col>3</xdr:col>
      <xdr:colOff>19051</xdr:colOff>
      <xdr:row>66</xdr:row>
      <xdr:rowOff>104775</xdr:rowOff>
    </xdr:to>
    <xdr:pic>
      <xdr:nvPicPr>
        <xdr:cNvPr id="1060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33451" y="13668375"/>
          <a:ext cx="914400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28576</xdr:colOff>
      <xdr:row>64</xdr:row>
      <xdr:rowOff>142875</xdr:rowOff>
    </xdr:from>
    <xdr:to>
      <xdr:col>5</xdr:col>
      <xdr:colOff>9525</xdr:colOff>
      <xdr:row>66</xdr:row>
      <xdr:rowOff>57150</xdr:rowOff>
    </xdr:to>
    <xdr:pic>
      <xdr:nvPicPr>
        <xdr:cNvPr id="1061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66976" y="13649325"/>
          <a:ext cx="590549" cy="295275"/>
        </a:xfrm>
        <a:prstGeom prst="rect">
          <a:avLst/>
        </a:prstGeom>
        <a:noFill/>
      </xdr:spPr>
    </xdr:pic>
    <xdr:clientData/>
  </xdr:twoCellAnchor>
  <xdr:twoCellAnchor>
    <xdr:from>
      <xdr:col>6</xdr:col>
      <xdr:colOff>0</xdr:colOff>
      <xdr:row>64</xdr:row>
      <xdr:rowOff>133350</xdr:rowOff>
    </xdr:from>
    <xdr:to>
      <xdr:col>7</xdr:col>
      <xdr:colOff>600075</xdr:colOff>
      <xdr:row>66</xdr:row>
      <xdr:rowOff>104775</xdr:rowOff>
    </xdr:to>
    <xdr:pic>
      <xdr:nvPicPr>
        <xdr:cNvPr id="106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57600" y="13639800"/>
          <a:ext cx="1209675" cy="3524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371475</xdr:colOff>
      <xdr:row>72</xdr:row>
      <xdr:rowOff>161925</xdr:rowOff>
    </xdr:from>
    <xdr:to>
      <xdr:col>6</xdr:col>
      <xdr:colOff>561975</xdr:colOff>
      <xdr:row>74</xdr:row>
      <xdr:rowOff>66675</xdr:rowOff>
    </xdr:to>
    <xdr:pic>
      <xdr:nvPicPr>
        <xdr:cNvPr id="43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19475" y="15440025"/>
          <a:ext cx="800100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561974</xdr:colOff>
      <xdr:row>72</xdr:row>
      <xdr:rowOff>76200</xdr:rowOff>
    </xdr:from>
    <xdr:to>
      <xdr:col>4</xdr:col>
      <xdr:colOff>609599</xdr:colOff>
      <xdr:row>74</xdr:row>
      <xdr:rowOff>142875</xdr:rowOff>
    </xdr:to>
    <xdr:pic>
      <xdr:nvPicPr>
        <xdr:cNvPr id="1064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1974" y="15335250"/>
          <a:ext cx="2486025" cy="4572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514351</xdr:colOff>
      <xdr:row>75</xdr:row>
      <xdr:rowOff>66675</xdr:rowOff>
    </xdr:from>
    <xdr:to>
      <xdr:col>2</xdr:col>
      <xdr:colOff>9525</xdr:colOff>
      <xdr:row>77</xdr:row>
      <xdr:rowOff>161925</xdr:rowOff>
    </xdr:to>
    <xdr:pic>
      <xdr:nvPicPr>
        <xdr:cNvPr id="1065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4351" y="15906750"/>
          <a:ext cx="714374" cy="4762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19051</xdr:colOff>
      <xdr:row>75</xdr:row>
      <xdr:rowOff>38100</xdr:rowOff>
    </xdr:from>
    <xdr:to>
      <xdr:col>7</xdr:col>
      <xdr:colOff>9525</xdr:colOff>
      <xdr:row>77</xdr:row>
      <xdr:rowOff>180975</xdr:rowOff>
    </xdr:to>
    <xdr:pic>
      <xdr:nvPicPr>
        <xdr:cNvPr id="1067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47851" y="15878175"/>
          <a:ext cx="2428874" cy="5238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485775</xdr:colOff>
      <xdr:row>10</xdr:row>
      <xdr:rowOff>152400</xdr:rowOff>
    </xdr:from>
    <xdr:to>
      <xdr:col>1</xdr:col>
      <xdr:colOff>152400</xdr:colOff>
      <xdr:row>12</xdr:row>
      <xdr:rowOff>85725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85775" y="2466975"/>
          <a:ext cx="276225" cy="3143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12</xdr:row>
      <xdr:rowOff>95250</xdr:rowOff>
    </xdr:from>
    <xdr:to>
      <xdr:col>5</xdr:col>
      <xdr:colOff>561975</xdr:colOff>
      <xdr:row>14</xdr:row>
      <xdr:rowOff>123825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9100" y="2714625"/>
          <a:ext cx="3190875" cy="4095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390524</xdr:colOff>
      <xdr:row>16</xdr:row>
      <xdr:rowOff>9524</xdr:rowOff>
    </xdr:from>
    <xdr:to>
      <xdr:col>3</xdr:col>
      <xdr:colOff>533399</xdr:colOff>
      <xdr:row>17</xdr:row>
      <xdr:rowOff>76199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0524" y="3390899"/>
          <a:ext cx="19716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409574</xdr:colOff>
      <xdr:row>18</xdr:row>
      <xdr:rowOff>85725</xdr:rowOff>
    </xdr:from>
    <xdr:to>
      <xdr:col>4</xdr:col>
      <xdr:colOff>38099</xdr:colOff>
      <xdr:row>20</xdr:row>
      <xdr:rowOff>142875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9574" y="3924300"/>
          <a:ext cx="2066925" cy="438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428625</xdr:colOff>
      <xdr:row>21</xdr:row>
      <xdr:rowOff>104775</xdr:rowOff>
    </xdr:from>
    <xdr:to>
      <xdr:col>5</xdr:col>
      <xdr:colOff>600075</xdr:colOff>
      <xdr:row>23</xdr:row>
      <xdr:rowOff>142875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8625" y="4438650"/>
          <a:ext cx="3219450" cy="4191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26</xdr:row>
      <xdr:rowOff>133350</xdr:rowOff>
    </xdr:from>
    <xdr:to>
      <xdr:col>6</xdr:col>
      <xdr:colOff>590550</xdr:colOff>
      <xdr:row>30</xdr:row>
      <xdr:rowOff>76200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5419725"/>
          <a:ext cx="3790950" cy="704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428625</xdr:colOff>
      <xdr:row>29</xdr:row>
      <xdr:rowOff>180975</xdr:rowOff>
    </xdr:from>
    <xdr:to>
      <xdr:col>1</xdr:col>
      <xdr:colOff>47626</xdr:colOff>
      <xdr:row>33</xdr:row>
      <xdr:rowOff>76200</xdr:rowOff>
    </xdr:to>
    <xdr:pic>
      <xdr:nvPicPr>
        <xdr:cNvPr id="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8625" y="6038850"/>
          <a:ext cx="228601" cy="6572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190500</xdr:colOff>
      <xdr:row>31</xdr:row>
      <xdr:rowOff>0</xdr:rowOff>
    </xdr:from>
    <xdr:to>
      <xdr:col>3</xdr:col>
      <xdr:colOff>19049</xdr:colOff>
      <xdr:row>32</xdr:row>
      <xdr:rowOff>9525</xdr:rowOff>
    </xdr:to>
    <xdr:pic>
      <xdr:nvPicPr>
        <xdr:cNvPr id="9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09700" y="6238875"/>
          <a:ext cx="438149" cy="2762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238125</xdr:colOff>
      <xdr:row>30</xdr:row>
      <xdr:rowOff>133350</xdr:rowOff>
    </xdr:from>
    <xdr:to>
      <xdr:col>7</xdr:col>
      <xdr:colOff>9525</xdr:colOff>
      <xdr:row>32</xdr:row>
      <xdr:rowOff>95250</xdr:rowOff>
    </xdr:to>
    <xdr:pic>
      <xdr:nvPicPr>
        <xdr:cNvPr id="10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86125" y="6181725"/>
          <a:ext cx="990600" cy="4191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238125</xdr:colOff>
      <xdr:row>30</xdr:row>
      <xdr:rowOff>171450</xdr:rowOff>
    </xdr:from>
    <xdr:to>
      <xdr:col>8</xdr:col>
      <xdr:colOff>47624</xdr:colOff>
      <xdr:row>32</xdr:row>
      <xdr:rowOff>38100</xdr:rowOff>
    </xdr:to>
    <xdr:pic>
      <xdr:nvPicPr>
        <xdr:cNvPr id="11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05325" y="6219825"/>
          <a:ext cx="476249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142875</xdr:colOff>
      <xdr:row>33</xdr:row>
      <xdr:rowOff>104775</xdr:rowOff>
    </xdr:from>
    <xdr:to>
      <xdr:col>5</xdr:col>
      <xdr:colOff>581025</xdr:colOff>
      <xdr:row>35</xdr:row>
      <xdr:rowOff>152400</xdr:rowOff>
    </xdr:to>
    <xdr:pic>
      <xdr:nvPicPr>
        <xdr:cNvPr id="13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81275" y="6800850"/>
          <a:ext cx="1047750" cy="4286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533400</xdr:colOff>
      <xdr:row>36</xdr:row>
      <xdr:rowOff>47625</xdr:rowOff>
    </xdr:from>
    <xdr:to>
      <xdr:col>5</xdr:col>
      <xdr:colOff>9524</xdr:colOff>
      <xdr:row>38</xdr:row>
      <xdr:rowOff>152400</xdr:rowOff>
    </xdr:to>
    <xdr:pic>
      <xdr:nvPicPr>
        <xdr:cNvPr id="1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33400" y="7315200"/>
          <a:ext cx="2524124" cy="4857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276225</xdr:colOff>
      <xdr:row>40</xdr:row>
      <xdr:rowOff>133350</xdr:rowOff>
    </xdr:from>
    <xdr:to>
      <xdr:col>2</xdr:col>
      <xdr:colOff>581025</xdr:colOff>
      <xdr:row>42</xdr:row>
      <xdr:rowOff>76200</xdr:rowOff>
    </xdr:to>
    <xdr:pic>
      <xdr:nvPicPr>
        <xdr:cNvPr id="15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85825" y="8162925"/>
          <a:ext cx="914400" cy="3238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581025</xdr:colOff>
      <xdr:row>40</xdr:row>
      <xdr:rowOff>152400</xdr:rowOff>
    </xdr:from>
    <xdr:to>
      <xdr:col>4</xdr:col>
      <xdr:colOff>561974</xdr:colOff>
      <xdr:row>42</xdr:row>
      <xdr:rowOff>57150</xdr:rowOff>
    </xdr:to>
    <xdr:pic>
      <xdr:nvPicPr>
        <xdr:cNvPr id="1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09825" y="8181975"/>
          <a:ext cx="590549" cy="295275"/>
        </a:xfrm>
        <a:prstGeom prst="rect">
          <a:avLst/>
        </a:prstGeom>
        <a:noFill/>
      </xdr:spPr>
    </xdr:pic>
    <xdr:clientData/>
  </xdr:twoCellAnchor>
  <xdr:twoCellAnchor>
    <xdr:from>
      <xdr:col>6</xdr:col>
      <xdr:colOff>28575</xdr:colOff>
      <xdr:row>40</xdr:row>
      <xdr:rowOff>123825</xdr:rowOff>
    </xdr:from>
    <xdr:to>
      <xdr:col>7</xdr:col>
      <xdr:colOff>628650</xdr:colOff>
      <xdr:row>42</xdr:row>
      <xdr:rowOff>85725</xdr:rowOff>
    </xdr:to>
    <xdr:pic>
      <xdr:nvPicPr>
        <xdr:cNvPr id="17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86175" y="8153400"/>
          <a:ext cx="1209675" cy="3524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11</xdr:row>
      <xdr:rowOff>9525</xdr:rowOff>
    </xdr:from>
    <xdr:to>
      <xdr:col>1</xdr:col>
      <xdr:colOff>123825</xdr:colOff>
      <xdr:row>12</xdr:row>
      <xdr:rowOff>76200</xdr:rowOff>
    </xdr:to>
    <xdr:pic>
      <xdr:nvPicPr>
        <xdr:cNvPr id="1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2438400"/>
          <a:ext cx="276225" cy="2571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11</xdr:row>
      <xdr:rowOff>180975</xdr:rowOff>
    </xdr:from>
    <xdr:to>
      <xdr:col>7</xdr:col>
      <xdr:colOff>185945</xdr:colOff>
      <xdr:row>17</xdr:row>
      <xdr:rowOff>38100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252" t="20787" r="1355" b="15730"/>
        <a:stretch>
          <a:fillRect/>
        </a:stretch>
      </xdr:blipFill>
      <xdr:spPr bwMode="auto">
        <a:xfrm>
          <a:off x="1171575" y="2466975"/>
          <a:ext cx="3352800" cy="1000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485775</xdr:colOff>
      <xdr:row>19</xdr:row>
      <xdr:rowOff>180975</xdr:rowOff>
    </xdr:from>
    <xdr:to>
      <xdr:col>3</xdr:col>
      <xdr:colOff>19050</xdr:colOff>
      <xdr:row>21</xdr:row>
      <xdr:rowOff>76200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85775" y="3990975"/>
          <a:ext cx="13620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466724</xdr:colOff>
      <xdr:row>21</xdr:row>
      <xdr:rowOff>142875</xdr:rowOff>
    </xdr:from>
    <xdr:to>
      <xdr:col>3</xdr:col>
      <xdr:colOff>19049</xdr:colOff>
      <xdr:row>23</xdr:row>
      <xdr:rowOff>85725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4" y="4143375"/>
          <a:ext cx="138112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447675</xdr:colOff>
      <xdr:row>23</xdr:row>
      <xdr:rowOff>171450</xdr:rowOff>
    </xdr:from>
    <xdr:to>
      <xdr:col>1</xdr:col>
      <xdr:colOff>590550</xdr:colOff>
      <xdr:row>25</xdr:row>
      <xdr:rowOff>47624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7675" y="4743450"/>
          <a:ext cx="752475" cy="257174"/>
        </a:xfrm>
        <a:prstGeom prst="rect">
          <a:avLst/>
        </a:prstGeom>
        <a:noFill/>
      </xdr:spPr>
    </xdr:pic>
    <xdr:clientData/>
  </xdr:twoCellAnchor>
  <xdr:twoCellAnchor>
    <xdr:from>
      <xdr:col>4</xdr:col>
      <xdr:colOff>438150</xdr:colOff>
      <xdr:row>23</xdr:row>
      <xdr:rowOff>76200</xdr:rowOff>
    </xdr:from>
    <xdr:to>
      <xdr:col>5</xdr:col>
      <xdr:colOff>104775</xdr:colOff>
      <xdr:row>25</xdr:row>
      <xdr:rowOff>123825</xdr:rowOff>
    </xdr:to>
    <xdr:pic>
      <xdr:nvPicPr>
        <xdr:cNvPr id="205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76550" y="4457700"/>
          <a:ext cx="276225" cy="4286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504825</xdr:colOff>
      <xdr:row>23</xdr:row>
      <xdr:rowOff>152400</xdr:rowOff>
    </xdr:from>
    <xdr:to>
      <xdr:col>4</xdr:col>
      <xdr:colOff>7512</xdr:colOff>
      <xdr:row>25</xdr:row>
      <xdr:rowOff>54707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33625" y="4533900"/>
          <a:ext cx="112287" cy="283307"/>
        </a:xfrm>
        <a:prstGeom prst="rect">
          <a:avLst/>
        </a:prstGeom>
        <a:noFill/>
      </xdr:spPr>
    </xdr:pic>
    <xdr:clientData/>
  </xdr:twoCellAnchor>
  <xdr:twoCellAnchor>
    <xdr:from>
      <xdr:col>7</xdr:col>
      <xdr:colOff>523876</xdr:colOff>
      <xdr:row>22</xdr:row>
      <xdr:rowOff>132522</xdr:rowOff>
    </xdr:from>
    <xdr:to>
      <xdr:col>7</xdr:col>
      <xdr:colOff>626832</xdr:colOff>
      <xdr:row>26</xdr:row>
      <xdr:rowOff>107675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52028" y="4182718"/>
          <a:ext cx="102956" cy="70402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25</xdr:row>
      <xdr:rowOff>114299</xdr:rowOff>
    </xdr:from>
    <xdr:to>
      <xdr:col>4</xdr:col>
      <xdr:colOff>9525</xdr:colOff>
      <xdr:row>28</xdr:row>
      <xdr:rowOff>0</xdr:rowOff>
    </xdr:to>
    <xdr:pic>
      <xdr:nvPicPr>
        <xdr:cNvPr id="205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5067299"/>
          <a:ext cx="1990725" cy="457201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504825</xdr:colOff>
      <xdr:row>17</xdr:row>
      <xdr:rowOff>171449</xdr:rowOff>
    </xdr:from>
    <xdr:to>
      <xdr:col>3</xdr:col>
      <xdr:colOff>571500</xdr:colOff>
      <xdr:row>19</xdr:row>
      <xdr:rowOff>47624</xdr:rowOff>
    </xdr:to>
    <xdr:pic>
      <xdr:nvPicPr>
        <xdr:cNvPr id="1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3600449"/>
          <a:ext cx="1895475" cy="2571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95250</xdr:colOff>
      <xdr:row>23</xdr:row>
      <xdr:rowOff>161925</xdr:rowOff>
    </xdr:from>
    <xdr:to>
      <xdr:col>6</xdr:col>
      <xdr:colOff>28575</xdr:colOff>
      <xdr:row>25</xdr:row>
      <xdr:rowOff>66675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67075" y="4733925"/>
          <a:ext cx="542925" cy="2857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127968</xdr:colOff>
      <xdr:row>23</xdr:row>
      <xdr:rowOff>180975</xdr:rowOff>
    </xdr:from>
    <xdr:to>
      <xdr:col>8</xdr:col>
      <xdr:colOff>604631</xdr:colOff>
      <xdr:row>25</xdr:row>
      <xdr:rowOff>66674</xdr:rowOff>
    </xdr:to>
    <xdr:pic>
      <xdr:nvPicPr>
        <xdr:cNvPr id="206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51859" y="4413388"/>
          <a:ext cx="476663" cy="250134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</xdr:colOff>
      <xdr:row>25</xdr:row>
      <xdr:rowOff>104775</xdr:rowOff>
    </xdr:from>
    <xdr:to>
      <xdr:col>5</xdr:col>
      <xdr:colOff>323850</xdr:colOff>
      <xdr:row>27</xdr:row>
      <xdr:rowOff>152400</xdr:rowOff>
    </xdr:to>
    <xdr:pic>
      <xdr:nvPicPr>
        <xdr:cNvPr id="1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95625" y="5057775"/>
          <a:ext cx="314325" cy="4286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342900</xdr:colOff>
      <xdr:row>25</xdr:row>
      <xdr:rowOff>171450</xdr:rowOff>
    </xdr:from>
    <xdr:to>
      <xdr:col>7</xdr:col>
      <xdr:colOff>379262</xdr:colOff>
      <xdr:row>27</xdr:row>
      <xdr:rowOff>38099</xdr:rowOff>
    </xdr:to>
    <xdr:pic>
      <xdr:nvPicPr>
        <xdr:cNvPr id="206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9000" y="5124450"/>
          <a:ext cx="1255562" cy="24764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590550</xdr:colOff>
      <xdr:row>29</xdr:row>
      <xdr:rowOff>95250</xdr:rowOff>
    </xdr:from>
    <xdr:to>
      <xdr:col>6</xdr:col>
      <xdr:colOff>500270</xdr:colOff>
      <xdr:row>34</xdr:row>
      <xdr:rowOff>57150</xdr:rowOff>
    </xdr:to>
    <xdr:pic>
      <xdr:nvPicPr>
        <xdr:cNvPr id="2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 t="11009" b="5505"/>
        <a:stretch>
          <a:fillRect/>
        </a:stretch>
      </xdr:blipFill>
      <xdr:spPr bwMode="auto">
        <a:xfrm>
          <a:off x="1200150" y="5905500"/>
          <a:ext cx="3028950" cy="914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200026</xdr:colOff>
      <xdr:row>37</xdr:row>
      <xdr:rowOff>18637</xdr:rowOff>
    </xdr:from>
    <xdr:to>
      <xdr:col>4</xdr:col>
      <xdr:colOff>304801</xdr:colOff>
      <xdr:row>43</xdr:row>
      <xdr:rowOff>16567</xdr:rowOff>
    </xdr:to>
    <xdr:pic>
      <xdr:nvPicPr>
        <xdr:cNvPr id="5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200026" y="7166528"/>
          <a:ext cx="2556427" cy="11409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523874</xdr:colOff>
      <xdr:row>44</xdr:row>
      <xdr:rowOff>0</xdr:rowOff>
    </xdr:from>
    <xdr:to>
      <xdr:col>2</xdr:col>
      <xdr:colOff>581025</xdr:colOff>
      <xdr:row>45</xdr:row>
      <xdr:rowOff>47625</xdr:rowOff>
    </xdr:to>
    <xdr:pic>
      <xdr:nvPicPr>
        <xdr:cNvPr id="5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3874" y="8858250"/>
          <a:ext cx="1276351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542926</xdr:colOff>
      <xdr:row>48</xdr:row>
      <xdr:rowOff>9526</xdr:rowOff>
    </xdr:from>
    <xdr:to>
      <xdr:col>3</xdr:col>
      <xdr:colOff>28576</xdr:colOff>
      <xdr:row>50</xdr:row>
      <xdr:rowOff>28576</xdr:rowOff>
    </xdr:to>
    <xdr:pic>
      <xdr:nvPicPr>
        <xdr:cNvPr id="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2926" y="9629776"/>
          <a:ext cx="1314450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523875</xdr:colOff>
      <xdr:row>45</xdr:row>
      <xdr:rowOff>152400</xdr:rowOff>
    </xdr:from>
    <xdr:to>
      <xdr:col>3</xdr:col>
      <xdr:colOff>590550</xdr:colOff>
      <xdr:row>47</xdr:row>
      <xdr:rowOff>38100</xdr:rowOff>
    </xdr:to>
    <xdr:pic>
      <xdr:nvPicPr>
        <xdr:cNvPr id="57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3875" y="7105650"/>
          <a:ext cx="1895475" cy="2667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48</xdr:row>
      <xdr:rowOff>0</xdr:rowOff>
    </xdr:from>
    <xdr:to>
      <xdr:col>5</xdr:col>
      <xdr:colOff>85725</xdr:colOff>
      <xdr:row>49</xdr:row>
      <xdr:rowOff>19049</xdr:rowOff>
    </xdr:to>
    <xdr:pic>
      <xdr:nvPicPr>
        <xdr:cNvPr id="58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38400" y="9620250"/>
          <a:ext cx="733425" cy="209549"/>
        </a:xfrm>
        <a:prstGeom prst="rect">
          <a:avLst/>
        </a:prstGeom>
        <a:noFill/>
      </xdr:spPr>
    </xdr:pic>
    <xdr:clientData/>
  </xdr:twoCellAnchor>
  <xdr:twoCellAnchor>
    <xdr:from>
      <xdr:col>3</xdr:col>
      <xdr:colOff>510208</xdr:colOff>
      <xdr:row>53</xdr:row>
      <xdr:rowOff>373959</xdr:rowOff>
    </xdr:from>
    <xdr:to>
      <xdr:col>4</xdr:col>
      <xdr:colOff>91109</xdr:colOff>
      <xdr:row>56</xdr:row>
      <xdr:rowOff>135834</xdr:rowOff>
    </xdr:to>
    <xdr:pic>
      <xdr:nvPicPr>
        <xdr:cNvPr id="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48947" y="10843176"/>
          <a:ext cx="193814" cy="871745"/>
        </a:xfrm>
        <a:prstGeom prst="rect">
          <a:avLst/>
        </a:prstGeom>
        <a:noFill/>
      </xdr:spPr>
    </xdr:pic>
    <xdr:clientData/>
  </xdr:twoCellAnchor>
  <xdr:twoCellAnchor>
    <xdr:from>
      <xdr:col>3</xdr:col>
      <xdr:colOff>534227</xdr:colOff>
      <xdr:row>51</xdr:row>
      <xdr:rowOff>396322</xdr:rowOff>
    </xdr:from>
    <xdr:to>
      <xdr:col>4</xdr:col>
      <xdr:colOff>115128</xdr:colOff>
      <xdr:row>55</xdr:row>
      <xdr:rowOff>2898</xdr:rowOff>
    </xdr:to>
    <xdr:pic>
      <xdr:nvPicPr>
        <xdr:cNvPr id="60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72966" y="10376865"/>
          <a:ext cx="193814" cy="641903"/>
        </a:xfrm>
        <a:prstGeom prst="rect">
          <a:avLst/>
        </a:prstGeom>
        <a:noFill/>
      </xdr:spPr>
    </xdr:pic>
    <xdr:clientData/>
  </xdr:twoCellAnchor>
  <xdr:twoCellAnchor>
    <xdr:from>
      <xdr:col>3</xdr:col>
      <xdr:colOff>557786</xdr:colOff>
      <xdr:row>49</xdr:row>
      <xdr:rowOff>28574</xdr:rowOff>
    </xdr:from>
    <xdr:to>
      <xdr:col>4</xdr:col>
      <xdr:colOff>148260</xdr:colOff>
      <xdr:row>53</xdr:row>
      <xdr:rowOff>157370</xdr:rowOff>
    </xdr:to>
    <xdr:pic>
      <xdr:nvPicPr>
        <xdr:cNvPr id="6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96525" y="9843465"/>
          <a:ext cx="203387" cy="78312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57</xdr:row>
      <xdr:rowOff>95250</xdr:rowOff>
    </xdr:from>
    <xdr:to>
      <xdr:col>1</xdr:col>
      <xdr:colOff>38100</xdr:colOff>
      <xdr:row>59</xdr:row>
      <xdr:rowOff>123825</xdr:rowOff>
    </xdr:to>
    <xdr:pic>
      <xdr:nvPicPr>
        <xdr:cNvPr id="6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11858625"/>
          <a:ext cx="190500" cy="4572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200025</xdr:colOff>
      <xdr:row>57</xdr:row>
      <xdr:rowOff>123825</xdr:rowOff>
    </xdr:from>
    <xdr:to>
      <xdr:col>3</xdr:col>
      <xdr:colOff>57150</xdr:colOff>
      <xdr:row>59</xdr:row>
      <xdr:rowOff>85725</xdr:rowOff>
    </xdr:to>
    <xdr:pic>
      <xdr:nvPicPr>
        <xdr:cNvPr id="6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19225" y="9963150"/>
          <a:ext cx="466725" cy="371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430696</xdr:colOff>
      <xdr:row>59</xdr:row>
      <xdr:rowOff>79515</xdr:rowOff>
    </xdr:from>
    <xdr:to>
      <xdr:col>5</xdr:col>
      <xdr:colOff>24849</xdr:colOff>
      <xdr:row>62</xdr:row>
      <xdr:rowOff>57979</xdr:rowOff>
    </xdr:to>
    <xdr:pic>
      <xdr:nvPicPr>
        <xdr:cNvPr id="6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0696" y="11898798"/>
          <a:ext cx="2691849" cy="549964"/>
        </a:xfrm>
        <a:prstGeom prst="rect">
          <a:avLst/>
        </a:prstGeom>
        <a:noFill/>
      </xdr:spPr>
    </xdr:pic>
    <xdr:clientData/>
  </xdr:twoCellAnchor>
  <xdr:twoCellAnchor>
    <xdr:from>
      <xdr:col>0</xdr:col>
      <xdr:colOff>447675</xdr:colOff>
      <xdr:row>67</xdr:row>
      <xdr:rowOff>19050</xdr:rowOff>
    </xdr:from>
    <xdr:to>
      <xdr:col>6</xdr:col>
      <xdr:colOff>28575</xdr:colOff>
      <xdr:row>69</xdr:row>
      <xdr:rowOff>28575</xdr:rowOff>
    </xdr:to>
    <xdr:pic>
      <xdr:nvPicPr>
        <xdr:cNvPr id="6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7675" y="11791950"/>
          <a:ext cx="3343275" cy="485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457201</xdr:colOff>
      <xdr:row>69</xdr:row>
      <xdr:rowOff>132522</xdr:rowOff>
    </xdr:from>
    <xdr:to>
      <xdr:col>6</xdr:col>
      <xdr:colOff>1</xdr:colOff>
      <xdr:row>72</xdr:row>
      <xdr:rowOff>16565</xdr:rowOff>
    </xdr:to>
    <xdr:pic>
      <xdr:nvPicPr>
        <xdr:cNvPr id="66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1" y="14287500"/>
          <a:ext cx="3286539" cy="455543"/>
        </a:xfrm>
        <a:prstGeom prst="rect">
          <a:avLst/>
        </a:prstGeom>
        <a:noFill/>
      </xdr:spPr>
    </xdr:pic>
    <xdr:clientData/>
  </xdr:twoCellAnchor>
  <xdr:twoCellAnchor>
    <xdr:from>
      <xdr:col>0</xdr:col>
      <xdr:colOff>480391</xdr:colOff>
      <xdr:row>63</xdr:row>
      <xdr:rowOff>118856</xdr:rowOff>
    </xdr:from>
    <xdr:to>
      <xdr:col>3</xdr:col>
      <xdr:colOff>521804</xdr:colOff>
      <xdr:row>65</xdr:row>
      <xdr:rowOff>165653</xdr:rowOff>
    </xdr:to>
    <xdr:pic>
      <xdr:nvPicPr>
        <xdr:cNvPr id="6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80391" y="12700139"/>
          <a:ext cx="1880152" cy="477492"/>
        </a:xfrm>
        <a:prstGeom prst="rect">
          <a:avLst/>
        </a:prstGeom>
        <a:noFill/>
      </xdr:spPr>
    </xdr:pic>
    <xdr:clientData/>
  </xdr:twoCellAnchor>
  <xdr:twoCellAnchor>
    <xdr:from>
      <xdr:col>4</xdr:col>
      <xdr:colOff>552450</xdr:colOff>
      <xdr:row>63</xdr:row>
      <xdr:rowOff>152399</xdr:rowOff>
    </xdr:from>
    <xdr:to>
      <xdr:col>5</xdr:col>
      <xdr:colOff>190500</xdr:colOff>
      <xdr:row>65</xdr:row>
      <xdr:rowOff>57150</xdr:rowOff>
    </xdr:to>
    <xdr:pic>
      <xdr:nvPicPr>
        <xdr:cNvPr id="6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05225" y="11163299"/>
          <a:ext cx="247650" cy="333376"/>
        </a:xfrm>
        <a:prstGeom prst="rect">
          <a:avLst/>
        </a:prstGeom>
        <a:noFill/>
      </xdr:spPr>
    </xdr:pic>
    <xdr:clientData/>
  </xdr:twoCellAnchor>
  <xdr:twoCellAnchor>
    <xdr:from>
      <xdr:col>6</xdr:col>
      <xdr:colOff>3727</xdr:colOff>
      <xdr:row>63</xdr:row>
      <xdr:rowOff>145360</xdr:rowOff>
    </xdr:from>
    <xdr:to>
      <xdr:col>6</xdr:col>
      <xdr:colOff>88394</xdr:colOff>
      <xdr:row>65</xdr:row>
      <xdr:rowOff>40585</xdr:rowOff>
    </xdr:to>
    <xdr:pic>
      <xdr:nvPicPr>
        <xdr:cNvPr id="6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747466" y="12726643"/>
          <a:ext cx="84667" cy="3259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495300</xdr:colOff>
      <xdr:row>73</xdr:row>
      <xdr:rowOff>47625</xdr:rowOff>
    </xdr:from>
    <xdr:to>
      <xdr:col>4</xdr:col>
      <xdr:colOff>47625</xdr:colOff>
      <xdr:row>75</xdr:row>
      <xdr:rowOff>133350</xdr:rowOff>
    </xdr:to>
    <xdr:pic>
      <xdr:nvPicPr>
        <xdr:cNvPr id="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95300" y="13430250"/>
          <a:ext cx="1990725" cy="4667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504824</xdr:colOff>
      <xdr:row>75</xdr:row>
      <xdr:rowOff>171450</xdr:rowOff>
    </xdr:from>
    <xdr:to>
      <xdr:col>3</xdr:col>
      <xdr:colOff>28575</xdr:colOff>
      <xdr:row>77</xdr:row>
      <xdr:rowOff>28575</xdr:rowOff>
    </xdr:to>
    <xdr:pic>
      <xdr:nvPicPr>
        <xdr:cNvPr id="7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4" y="13935075"/>
          <a:ext cx="1352551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504825</xdr:colOff>
      <xdr:row>78</xdr:row>
      <xdr:rowOff>28575</xdr:rowOff>
    </xdr:from>
    <xdr:to>
      <xdr:col>4</xdr:col>
      <xdr:colOff>28575</xdr:colOff>
      <xdr:row>79</xdr:row>
      <xdr:rowOff>66675</xdr:rowOff>
    </xdr:to>
    <xdr:pic>
      <xdr:nvPicPr>
        <xdr:cNvPr id="7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14363700"/>
          <a:ext cx="1962150" cy="2952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447675</xdr:colOff>
      <xdr:row>82</xdr:row>
      <xdr:rowOff>19050</xdr:rowOff>
    </xdr:from>
    <xdr:to>
      <xdr:col>7</xdr:col>
      <xdr:colOff>557420</xdr:colOff>
      <xdr:row>85</xdr:row>
      <xdr:rowOff>123825</xdr:rowOff>
    </xdr:to>
    <xdr:pic>
      <xdr:nvPicPr>
        <xdr:cNvPr id="7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9"/>
        <a:srcRect l="9462" t="11956" r="3871" b="10870"/>
        <a:stretch>
          <a:fillRect/>
        </a:stretch>
      </xdr:blipFill>
      <xdr:spPr bwMode="auto">
        <a:xfrm>
          <a:off x="1057275" y="17011650"/>
          <a:ext cx="3838575" cy="676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247651</xdr:colOff>
      <xdr:row>80</xdr:row>
      <xdr:rowOff>154843</xdr:rowOff>
    </xdr:from>
    <xdr:to>
      <xdr:col>1</xdr:col>
      <xdr:colOff>382589</xdr:colOff>
      <xdr:row>82</xdr:row>
      <xdr:rowOff>114300</xdr:rowOff>
    </xdr:to>
    <xdr:pic>
      <xdr:nvPicPr>
        <xdr:cNvPr id="7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57251" y="14937643"/>
          <a:ext cx="134938" cy="340457"/>
        </a:xfrm>
        <a:prstGeom prst="rect">
          <a:avLst/>
        </a:prstGeom>
        <a:noFill/>
      </xdr:spPr>
    </xdr:pic>
    <xdr:clientData/>
  </xdr:twoCellAnchor>
  <xdr:twoCellAnchor>
    <xdr:from>
      <xdr:col>4</xdr:col>
      <xdr:colOff>352425</xdr:colOff>
      <xdr:row>80</xdr:row>
      <xdr:rowOff>95250</xdr:rowOff>
    </xdr:from>
    <xdr:to>
      <xdr:col>4</xdr:col>
      <xdr:colOff>507206</xdr:colOff>
      <xdr:row>82</xdr:row>
      <xdr:rowOff>104774</xdr:rowOff>
    </xdr:to>
    <xdr:pic>
      <xdr:nvPicPr>
        <xdr:cNvPr id="75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90825" y="14878050"/>
          <a:ext cx="154781" cy="390524"/>
        </a:xfrm>
        <a:prstGeom prst="rect">
          <a:avLst/>
        </a:prstGeom>
        <a:noFill/>
      </xdr:spPr>
    </xdr:pic>
    <xdr:clientData/>
  </xdr:twoCellAnchor>
  <xdr:twoCellAnchor>
    <xdr:from>
      <xdr:col>7</xdr:col>
      <xdr:colOff>47625</xdr:colOff>
      <xdr:row>80</xdr:row>
      <xdr:rowOff>124804</xdr:rowOff>
    </xdr:from>
    <xdr:to>
      <xdr:col>7</xdr:col>
      <xdr:colOff>200025</xdr:colOff>
      <xdr:row>82</xdr:row>
      <xdr:rowOff>90936</xdr:rowOff>
    </xdr:to>
    <xdr:pic>
      <xdr:nvPicPr>
        <xdr:cNvPr id="7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19600" y="14907604"/>
          <a:ext cx="152400" cy="347132"/>
        </a:xfrm>
        <a:prstGeom prst="rect">
          <a:avLst/>
        </a:prstGeom>
        <a:noFill/>
      </xdr:spPr>
    </xdr:pic>
    <xdr:clientData/>
  </xdr:twoCellAnchor>
  <xdr:twoCellAnchor>
    <xdr:from>
      <xdr:col>1</xdr:col>
      <xdr:colOff>571500</xdr:colOff>
      <xdr:row>80</xdr:row>
      <xdr:rowOff>114789</xdr:rowOff>
    </xdr:from>
    <xdr:to>
      <xdr:col>2</xdr:col>
      <xdr:colOff>200025</xdr:colOff>
      <xdr:row>82</xdr:row>
      <xdr:rowOff>114300</xdr:rowOff>
    </xdr:to>
    <xdr:pic>
      <xdr:nvPicPr>
        <xdr:cNvPr id="7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81100" y="14897589"/>
          <a:ext cx="238125" cy="380511"/>
        </a:xfrm>
        <a:prstGeom prst="rect">
          <a:avLst/>
        </a:prstGeom>
        <a:noFill/>
      </xdr:spPr>
    </xdr:pic>
    <xdr:clientData/>
  </xdr:twoCellAnchor>
  <xdr:twoCellAnchor>
    <xdr:from>
      <xdr:col>5</xdr:col>
      <xdr:colOff>1</xdr:colOff>
      <xdr:row>80</xdr:row>
      <xdr:rowOff>114789</xdr:rowOff>
    </xdr:from>
    <xdr:to>
      <xdr:col>5</xdr:col>
      <xdr:colOff>190501</xdr:colOff>
      <xdr:row>82</xdr:row>
      <xdr:rowOff>114300</xdr:rowOff>
    </xdr:to>
    <xdr:pic>
      <xdr:nvPicPr>
        <xdr:cNvPr id="7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52776" y="14897589"/>
          <a:ext cx="190500" cy="380511"/>
        </a:xfrm>
        <a:prstGeom prst="rect">
          <a:avLst/>
        </a:prstGeom>
        <a:noFill/>
      </xdr:spPr>
    </xdr:pic>
    <xdr:clientData/>
  </xdr:twoCellAnchor>
  <xdr:twoCellAnchor>
    <xdr:from>
      <xdr:col>7</xdr:col>
      <xdr:colOff>400051</xdr:colOff>
      <xdr:row>80</xdr:row>
      <xdr:rowOff>144830</xdr:rowOff>
    </xdr:from>
    <xdr:to>
      <xdr:col>7</xdr:col>
      <xdr:colOff>575512</xdr:colOff>
      <xdr:row>82</xdr:row>
      <xdr:rowOff>114300</xdr:rowOff>
    </xdr:to>
    <xdr:pic>
      <xdr:nvPicPr>
        <xdr:cNvPr id="7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72026" y="14927630"/>
          <a:ext cx="175461" cy="350470"/>
        </a:xfrm>
        <a:prstGeom prst="rect">
          <a:avLst/>
        </a:prstGeom>
        <a:noFill/>
      </xdr:spPr>
    </xdr:pic>
    <xdr:clientData/>
  </xdr:twoCellAnchor>
  <xdr:twoCellAnchor>
    <xdr:from>
      <xdr:col>8</xdr:col>
      <xdr:colOff>504825</xdr:colOff>
      <xdr:row>63</xdr:row>
      <xdr:rowOff>142875</xdr:rowOff>
    </xdr:from>
    <xdr:to>
      <xdr:col>8</xdr:col>
      <xdr:colOff>781050</xdr:colOff>
      <xdr:row>65</xdr:row>
      <xdr:rowOff>161925</xdr:rowOff>
    </xdr:to>
    <xdr:pic>
      <xdr:nvPicPr>
        <xdr:cNvPr id="80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86400" y="11153775"/>
          <a:ext cx="276225" cy="44767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11</xdr:row>
      <xdr:rowOff>180975</xdr:rowOff>
    </xdr:from>
    <xdr:to>
      <xdr:col>7</xdr:col>
      <xdr:colOff>185945</xdr:colOff>
      <xdr:row>17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252" t="20787" r="1355" b="15730"/>
        <a:stretch>
          <a:fillRect/>
        </a:stretch>
      </xdr:blipFill>
      <xdr:spPr bwMode="auto">
        <a:xfrm>
          <a:off x="1171575" y="2276475"/>
          <a:ext cx="3357770" cy="1000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485775</xdr:colOff>
      <xdr:row>19</xdr:row>
      <xdr:rowOff>180975</xdr:rowOff>
    </xdr:from>
    <xdr:to>
      <xdr:col>3</xdr:col>
      <xdr:colOff>19050</xdr:colOff>
      <xdr:row>21</xdr:row>
      <xdr:rowOff>76200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85775" y="3800475"/>
          <a:ext cx="136207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466724</xdr:colOff>
      <xdr:row>21</xdr:row>
      <xdr:rowOff>142875</xdr:rowOff>
    </xdr:from>
    <xdr:to>
      <xdr:col>3</xdr:col>
      <xdr:colOff>19049</xdr:colOff>
      <xdr:row>23</xdr:row>
      <xdr:rowOff>85725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4" y="4143375"/>
          <a:ext cx="1381125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447675</xdr:colOff>
      <xdr:row>23</xdr:row>
      <xdr:rowOff>171450</xdr:rowOff>
    </xdr:from>
    <xdr:to>
      <xdr:col>1</xdr:col>
      <xdr:colOff>590550</xdr:colOff>
      <xdr:row>25</xdr:row>
      <xdr:rowOff>47624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7675" y="4552950"/>
          <a:ext cx="752475" cy="257174"/>
        </a:xfrm>
        <a:prstGeom prst="rect">
          <a:avLst/>
        </a:prstGeom>
        <a:noFill/>
      </xdr:spPr>
    </xdr:pic>
    <xdr:clientData/>
  </xdr:twoCellAnchor>
  <xdr:twoCellAnchor>
    <xdr:from>
      <xdr:col>4</xdr:col>
      <xdr:colOff>438150</xdr:colOff>
      <xdr:row>23</xdr:row>
      <xdr:rowOff>76200</xdr:rowOff>
    </xdr:from>
    <xdr:to>
      <xdr:col>5</xdr:col>
      <xdr:colOff>104775</xdr:colOff>
      <xdr:row>25</xdr:row>
      <xdr:rowOff>123825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76550" y="4457700"/>
          <a:ext cx="314325" cy="4286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504825</xdr:colOff>
      <xdr:row>23</xdr:row>
      <xdr:rowOff>152400</xdr:rowOff>
    </xdr:from>
    <xdr:to>
      <xdr:col>4</xdr:col>
      <xdr:colOff>7512</xdr:colOff>
      <xdr:row>25</xdr:row>
      <xdr:rowOff>54707</xdr:rowOff>
    </xdr:to>
    <xdr:pic>
      <xdr:nvPicPr>
        <xdr:cNvPr id="7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33625" y="4533900"/>
          <a:ext cx="112287" cy="283307"/>
        </a:xfrm>
        <a:prstGeom prst="rect">
          <a:avLst/>
        </a:prstGeom>
        <a:noFill/>
      </xdr:spPr>
    </xdr:pic>
    <xdr:clientData/>
  </xdr:twoCellAnchor>
  <xdr:twoCellAnchor>
    <xdr:from>
      <xdr:col>7</xdr:col>
      <xdr:colOff>523875</xdr:colOff>
      <xdr:row>22</xdr:row>
      <xdr:rowOff>19049</xdr:rowOff>
    </xdr:from>
    <xdr:to>
      <xdr:col>8</xdr:col>
      <xdr:colOff>0</xdr:colOff>
      <xdr:row>27</xdr:row>
      <xdr:rowOff>0</xdr:rowOff>
    </xdr:to>
    <xdr:pic>
      <xdr:nvPicPr>
        <xdr:cNvPr id="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867275" y="4210049"/>
          <a:ext cx="85725" cy="933451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25</xdr:row>
      <xdr:rowOff>114299</xdr:rowOff>
    </xdr:from>
    <xdr:to>
      <xdr:col>4</xdr:col>
      <xdr:colOff>9525</xdr:colOff>
      <xdr:row>28</xdr:row>
      <xdr:rowOff>0</xdr:rowOff>
    </xdr:to>
    <xdr:pic>
      <xdr:nvPicPr>
        <xdr:cNvPr id="9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4876799"/>
          <a:ext cx="1990725" cy="457201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504825</xdr:colOff>
      <xdr:row>17</xdr:row>
      <xdr:rowOff>171449</xdr:rowOff>
    </xdr:from>
    <xdr:to>
      <xdr:col>3</xdr:col>
      <xdr:colOff>571500</xdr:colOff>
      <xdr:row>19</xdr:row>
      <xdr:rowOff>47624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3409949"/>
          <a:ext cx="1895475" cy="257175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95250</xdr:colOff>
      <xdr:row>23</xdr:row>
      <xdr:rowOff>161925</xdr:rowOff>
    </xdr:from>
    <xdr:to>
      <xdr:col>6</xdr:col>
      <xdr:colOff>28575</xdr:colOff>
      <xdr:row>25</xdr:row>
      <xdr:rowOff>66675</xdr:rowOff>
    </xdr:to>
    <xdr:pic>
      <xdr:nvPicPr>
        <xdr:cNvPr id="11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81350" y="4543425"/>
          <a:ext cx="581025" cy="2857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28576</xdr:colOff>
      <xdr:row>23</xdr:row>
      <xdr:rowOff>180975</xdr:rowOff>
    </xdr:from>
    <xdr:to>
      <xdr:col>8</xdr:col>
      <xdr:colOff>637762</xdr:colOff>
      <xdr:row>25</xdr:row>
      <xdr:rowOff>66674</xdr:rowOff>
    </xdr:to>
    <xdr:pic>
      <xdr:nvPicPr>
        <xdr:cNvPr id="12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981576" y="4562475"/>
          <a:ext cx="609186" cy="266699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</xdr:colOff>
      <xdr:row>25</xdr:row>
      <xdr:rowOff>104775</xdr:rowOff>
    </xdr:from>
    <xdr:to>
      <xdr:col>5</xdr:col>
      <xdr:colOff>323850</xdr:colOff>
      <xdr:row>27</xdr:row>
      <xdr:rowOff>152400</xdr:rowOff>
    </xdr:to>
    <xdr:pic>
      <xdr:nvPicPr>
        <xdr:cNvPr id="1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095625" y="4867275"/>
          <a:ext cx="314325" cy="4286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342900</xdr:colOff>
      <xdr:row>25</xdr:row>
      <xdr:rowOff>171450</xdr:rowOff>
    </xdr:from>
    <xdr:to>
      <xdr:col>7</xdr:col>
      <xdr:colOff>379262</xdr:colOff>
      <xdr:row>27</xdr:row>
      <xdr:rowOff>38099</xdr:rowOff>
    </xdr:to>
    <xdr:pic>
      <xdr:nvPicPr>
        <xdr:cNvPr id="1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9000" y="4933950"/>
          <a:ext cx="1293662" cy="24764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590550</xdr:colOff>
      <xdr:row>29</xdr:row>
      <xdr:rowOff>95250</xdr:rowOff>
    </xdr:from>
    <xdr:to>
      <xdr:col>6</xdr:col>
      <xdr:colOff>500270</xdr:colOff>
      <xdr:row>34</xdr:row>
      <xdr:rowOff>57150</xdr:rowOff>
    </xdr:to>
    <xdr:pic>
      <xdr:nvPicPr>
        <xdr:cNvPr id="1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 t="11009" b="5505"/>
        <a:stretch>
          <a:fillRect/>
        </a:stretch>
      </xdr:blipFill>
      <xdr:spPr bwMode="auto">
        <a:xfrm>
          <a:off x="1200150" y="5715000"/>
          <a:ext cx="3033920" cy="9144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200026</xdr:colOff>
      <xdr:row>37</xdr:row>
      <xdr:rowOff>18637</xdr:rowOff>
    </xdr:from>
    <xdr:to>
      <xdr:col>4</xdr:col>
      <xdr:colOff>304801</xdr:colOff>
      <xdr:row>42</xdr:row>
      <xdr:rowOff>161925</xdr:rowOff>
    </xdr:to>
    <xdr:pic>
      <xdr:nvPicPr>
        <xdr:cNvPr id="1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200026" y="7029037"/>
          <a:ext cx="2543175" cy="1095788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523874</xdr:colOff>
      <xdr:row>44</xdr:row>
      <xdr:rowOff>9525</xdr:rowOff>
    </xdr:from>
    <xdr:to>
      <xdr:col>2</xdr:col>
      <xdr:colOff>581025</xdr:colOff>
      <xdr:row>45</xdr:row>
      <xdr:rowOff>47624</xdr:rowOff>
    </xdr:to>
    <xdr:pic>
      <xdr:nvPicPr>
        <xdr:cNvPr id="1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3874" y="8353425"/>
          <a:ext cx="1276351" cy="228599"/>
        </a:xfrm>
        <a:prstGeom prst="rect">
          <a:avLst/>
        </a:prstGeom>
        <a:noFill/>
      </xdr:spPr>
    </xdr:pic>
    <xdr:clientData/>
  </xdr:twoCellAnchor>
  <xdr:twoCellAnchor>
    <xdr:from>
      <xdr:col>0</xdr:col>
      <xdr:colOff>542926</xdr:colOff>
      <xdr:row>48</xdr:row>
      <xdr:rowOff>9526</xdr:rowOff>
    </xdr:from>
    <xdr:to>
      <xdr:col>3</xdr:col>
      <xdr:colOff>28576</xdr:colOff>
      <xdr:row>49</xdr:row>
      <xdr:rowOff>57150</xdr:rowOff>
    </xdr:to>
    <xdr:pic>
      <xdr:nvPicPr>
        <xdr:cNvPr id="1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2926" y="9496426"/>
          <a:ext cx="1314450" cy="238124"/>
        </a:xfrm>
        <a:prstGeom prst="rect">
          <a:avLst/>
        </a:prstGeom>
        <a:noFill/>
      </xdr:spPr>
    </xdr:pic>
    <xdr:clientData/>
  </xdr:twoCellAnchor>
  <xdr:twoCellAnchor>
    <xdr:from>
      <xdr:col>0</xdr:col>
      <xdr:colOff>523875</xdr:colOff>
      <xdr:row>45</xdr:row>
      <xdr:rowOff>152400</xdr:rowOff>
    </xdr:from>
    <xdr:to>
      <xdr:col>3</xdr:col>
      <xdr:colOff>590550</xdr:colOff>
      <xdr:row>47</xdr:row>
      <xdr:rowOff>38100</xdr:rowOff>
    </xdr:to>
    <xdr:pic>
      <xdr:nvPicPr>
        <xdr:cNvPr id="19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3875" y="9201150"/>
          <a:ext cx="1895475" cy="2667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0</xdr:colOff>
      <xdr:row>48</xdr:row>
      <xdr:rowOff>0</xdr:rowOff>
    </xdr:from>
    <xdr:to>
      <xdr:col>5</xdr:col>
      <xdr:colOff>85725</xdr:colOff>
      <xdr:row>49</xdr:row>
      <xdr:rowOff>19049</xdr:rowOff>
    </xdr:to>
    <xdr:pic>
      <xdr:nvPicPr>
        <xdr:cNvPr id="2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38400" y="9620250"/>
          <a:ext cx="733425" cy="209549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52</xdr:row>
      <xdr:rowOff>95250</xdr:rowOff>
    </xdr:from>
    <xdr:to>
      <xdr:col>1</xdr:col>
      <xdr:colOff>38100</xdr:colOff>
      <xdr:row>54</xdr:row>
      <xdr:rowOff>123825</xdr:rowOff>
    </xdr:to>
    <xdr:pic>
      <xdr:nvPicPr>
        <xdr:cNvPr id="2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11858625"/>
          <a:ext cx="190500" cy="4572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200025</xdr:colOff>
      <xdr:row>52</xdr:row>
      <xdr:rowOff>123825</xdr:rowOff>
    </xdr:from>
    <xdr:to>
      <xdr:col>3</xdr:col>
      <xdr:colOff>57150</xdr:colOff>
      <xdr:row>54</xdr:row>
      <xdr:rowOff>85725</xdr:rowOff>
    </xdr:to>
    <xdr:pic>
      <xdr:nvPicPr>
        <xdr:cNvPr id="2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19225" y="11887200"/>
          <a:ext cx="466725" cy="3905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466725</xdr:colOff>
      <xdr:row>54</xdr:row>
      <xdr:rowOff>38101</xdr:rowOff>
    </xdr:from>
    <xdr:to>
      <xdr:col>5</xdr:col>
      <xdr:colOff>1</xdr:colOff>
      <xdr:row>57</xdr:row>
      <xdr:rowOff>114300</xdr:rowOff>
    </xdr:to>
    <xdr:pic>
      <xdr:nvPicPr>
        <xdr:cNvPr id="2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12230101"/>
          <a:ext cx="2619376" cy="647699"/>
        </a:xfrm>
        <a:prstGeom prst="rect">
          <a:avLst/>
        </a:prstGeom>
        <a:noFill/>
      </xdr:spPr>
    </xdr:pic>
    <xdr:clientData/>
  </xdr:twoCellAnchor>
  <xdr:twoCellAnchor>
    <xdr:from>
      <xdr:col>0</xdr:col>
      <xdr:colOff>533401</xdr:colOff>
      <xdr:row>58</xdr:row>
      <xdr:rowOff>85724</xdr:rowOff>
    </xdr:from>
    <xdr:to>
      <xdr:col>4</xdr:col>
      <xdr:colOff>561975</xdr:colOff>
      <xdr:row>61</xdr:row>
      <xdr:rowOff>114299</xdr:rowOff>
    </xdr:to>
    <xdr:pic>
      <xdr:nvPicPr>
        <xdr:cNvPr id="29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33401" y="13039724"/>
          <a:ext cx="2466974" cy="6477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552450</xdr:colOff>
      <xdr:row>58</xdr:row>
      <xdr:rowOff>152399</xdr:rowOff>
    </xdr:from>
    <xdr:to>
      <xdr:col>6</xdr:col>
      <xdr:colOff>190500</xdr:colOff>
      <xdr:row>60</xdr:row>
      <xdr:rowOff>57150</xdr:rowOff>
    </xdr:to>
    <xdr:pic>
      <xdr:nvPicPr>
        <xdr:cNvPr id="30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638550" y="13106399"/>
          <a:ext cx="285750" cy="333376"/>
        </a:xfrm>
        <a:prstGeom prst="rect">
          <a:avLst/>
        </a:prstGeom>
        <a:noFill/>
      </xdr:spPr>
    </xdr:pic>
    <xdr:clientData/>
  </xdr:twoCellAnchor>
  <xdr:twoCellAnchor>
    <xdr:from>
      <xdr:col>7</xdr:col>
      <xdr:colOff>28575</xdr:colOff>
      <xdr:row>58</xdr:row>
      <xdr:rowOff>161925</xdr:rowOff>
    </xdr:from>
    <xdr:to>
      <xdr:col>7</xdr:col>
      <xdr:colOff>113242</xdr:colOff>
      <xdr:row>60</xdr:row>
      <xdr:rowOff>57150</xdr:rowOff>
    </xdr:to>
    <xdr:pic>
      <xdr:nvPicPr>
        <xdr:cNvPr id="31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71975" y="13115925"/>
          <a:ext cx="84667" cy="3238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504825</xdr:colOff>
      <xdr:row>64</xdr:row>
      <xdr:rowOff>47625</xdr:rowOff>
    </xdr:from>
    <xdr:to>
      <xdr:col>4</xdr:col>
      <xdr:colOff>57150</xdr:colOff>
      <xdr:row>66</xdr:row>
      <xdr:rowOff>133350</xdr:rowOff>
    </xdr:to>
    <xdr:pic>
      <xdr:nvPicPr>
        <xdr:cNvPr id="3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13096875"/>
          <a:ext cx="1990725" cy="4667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504824</xdr:colOff>
      <xdr:row>66</xdr:row>
      <xdr:rowOff>171450</xdr:rowOff>
    </xdr:from>
    <xdr:to>
      <xdr:col>3</xdr:col>
      <xdr:colOff>28575</xdr:colOff>
      <xdr:row>68</xdr:row>
      <xdr:rowOff>28575</xdr:rowOff>
    </xdr:to>
    <xdr:pic>
      <xdr:nvPicPr>
        <xdr:cNvPr id="3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4" y="15830550"/>
          <a:ext cx="1352551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504825</xdr:colOff>
      <xdr:row>69</xdr:row>
      <xdr:rowOff>28575</xdr:rowOff>
    </xdr:from>
    <xdr:to>
      <xdr:col>4</xdr:col>
      <xdr:colOff>28575</xdr:colOff>
      <xdr:row>70</xdr:row>
      <xdr:rowOff>66675</xdr:rowOff>
    </xdr:to>
    <xdr:pic>
      <xdr:nvPicPr>
        <xdr:cNvPr id="3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5" y="16259175"/>
          <a:ext cx="1962150" cy="2286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571501</xdr:colOff>
      <xdr:row>58</xdr:row>
      <xdr:rowOff>123825</xdr:rowOff>
    </xdr:from>
    <xdr:to>
      <xdr:col>9</xdr:col>
      <xdr:colOff>171451</xdr:colOff>
      <xdr:row>60</xdr:row>
      <xdr:rowOff>142875</xdr:rowOff>
    </xdr:to>
    <xdr:pic>
      <xdr:nvPicPr>
        <xdr:cNvPr id="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48301" y="11563350"/>
          <a:ext cx="209550" cy="4476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514350</xdr:colOff>
      <xdr:row>50</xdr:row>
      <xdr:rowOff>133351</xdr:rowOff>
    </xdr:from>
    <xdr:to>
      <xdr:col>4</xdr:col>
      <xdr:colOff>9525</xdr:colOff>
      <xdr:row>50</xdr:row>
      <xdr:rowOff>400051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4350" y="10001251"/>
          <a:ext cx="1933575" cy="2667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371475</xdr:colOff>
      <xdr:row>50</xdr:row>
      <xdr:rowOff>0</xdr:rowOff>
    </xdr:from>
    <xdr:to>
      <xdr:col>5</xdr:col>
      <xdr:colOff>47625</xdr:colOff>
      <xdr:row>50</xdr:row>
      <xdr:rowOff>485775</xdr:rowOff>
    </xdr:to>
    <xdr:pic>
      <xdr:nvPicPr>
        <xdr:cNvPr id="3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09875" y="9867900"/>
          <a:ext cx="285750" cy="485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514350</xdr:colOff>
      <xdr:row>61</xdr:row>
      <xdr:rowOff>47625</xdr:rowOff>
    </xdr:from>
    <xdr:to>
      <xdr:col>2</xdr:col>
      <xdr:colOff>38100</xdr:colOff>
      <xdr:row>63</xdr:row>
      <xdr:rowOff>171450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4350" y="12153900"/>
          <a:ext cx="742950" cy="504825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</xdr:colOff>
      <xdr:row>53</xdr:row>
      <xdr:rowOff>0</xdr:rowOff>
    </xdr:from>
    <xdr:to>
      <xdr:col>4</xdr:col>
      <xdr:colOff>180975</xdr:colOff>
      <xdr:row>54</xdr:row>
      <xdr:rowOff>66675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47925" y="10487025"/>
          <a:ext cx="171450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457202</xdr:colOff>
      <xdr:row>75</xdr:row>
      <xdr:rowOff>38100</xdr:rowOff>
    </xdr:from>
    <xdr:to>
      <xdr:col>2</xdr:col>
      <xdr:colOff>561976</xdr:colOff>
      <xdr:row>78</xdr:row>
      <xdr:rowOff>19050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2" y="15049500"/>
          <a:ext cx="1323974" cy="5524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561975</xdr:colOff>
      <xdr:row>78</xdr:row>
      <xdr:rowOff>114300</xdr:rowOff>
    </xdr:from>
    <xdr:to>
      <xdr:col>4</xdr:col>
      <xdr:colOff>600075</xdr:colOff>
      <xdr:row>80</xdr:row>
      <xdr:rowOff>142875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1975" y="15697200"/>
          <a:ext cx="2476500" cy="4572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400050</xdr:colOff>
      <xdr:row>78</xdr:row>
      <xdr:rowOff>180975</xdr:rowOff>
    </xdr:from>
    <xdr:to>
      <xdr:col>6</xdr:col>
      <xdr:colOff>552450</xdr:colOff>
      <xdr:row>80</xdr:row>
      <xdr:rowOff>76200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57650" y="15763875"/>
          <a:ext cx="152400" cy="2762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438148</xdr:colOff>
      <xdr:row>78</xdr:row>
      <xdr:rowOff>142875</xdr:rowOff>
    </xdr:from>
    <xdr:to>
      <xdr:col>7</xdr:col>
      <xdr:colOff>552449</xdr:colOff>
      <xdr:row>80</xdr:row>
      <xdr:rowOff>85725</xdr:rowOff>
    </xdr:to>
    <xdr:pic>
      <xdr:nvPicPr>
        <xdr:cNvPr id="46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05348" y="15725775"/>
          <a:ext cx="114301" cy="3238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323850</xdr:colOff>
      <xdr:row>78</xdr:row>
      <xdr:rowOff>104775</xdr:rowOff>
    </xdr:from>
    <xdr:to>
      <xdr:col>8</xdr:col>
      <xdr:colOff>533400</xdr:colOff>
      <xdr:row>80</xdr:row>
      <xdr:rowOff>171450</xdr:rowOff>
    </xdr:to>
    <xdr:pic>
      <xdr:nvPicPr>
        <xdr:cNvPr id="4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200650" y="15687675"/>
          <a:ext cx="209550" cy="4476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219075</xdr:colOff>
      <xdr:row>81</xdr:row>
      <xdr:rowOff>114300</xdr:rowOff>
    </xdr:from>
    <xdr:to>
      <xdr:col>4</xdr:col>
      <xdr:colOff>481013</xdr:colOff>
      <xdr:row>83</xdr:row>
      <xdr:rowOff>161925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57475" y="16316325"/>
          <a:ext cx="261938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3"/>
  <sheetViews>
    <sheetView tabSelected="1" workbookViewId="0">
      <selection activeCell="K30" sqref="K30"/>
    </sheetView>
  </sheetViews>
  <sheetFormatPr defaultRowHeight="14.25"/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9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22.5" customHeight="1">
      <c r="A3" s="2"/>
      <c r="B3" s="2"/>
      <c r="C3" s="49" t="s">
        <v>13</v>
      </c>
      <c r="D3" s="50"/>
      <c r="E3" s="50"/>
      <c r="F3" s="50"/>
      <c r="G3" s="50"/>
      <c r="H3" s="50"/>
      <c r="I3" s="50"/>
      <c r="J3" s="2"/>
      <c r="K3" s="2"/>
      <c r="L3" s="2"/>
    </row>
    <row r="4" spans="1:12" ht="20.25" customHeight="1">
      <c r="A4" s="2"/>
      <c r="B4" s="2"/>
      <c r="C4" s="50"/>
      <c r="D4" s="50"/>
      <c r="E4" s="50"/>
      <c r="F4" s="50"/>
      <c r="G4" s="50"/>
      <c r="H4" s="50"/>
      <c r="I4" s="50"/>
      <c r="J4" s="2"/>
      <c r="K4" s="2"/>
      <c r="L4" s="2"/>
    </row>
    <row r="5" spans="1:12" ht="21.75" customHeight="1">
      <c r="A5" s="2"/>
      <c r="B5" s="2"/>
      <c r="C5" s="50"/>
      <c r="D5" s="50"/>
      <c r="E5" s="50"/>
      <c r="F5" s="50"/>
      <c r="G5" s="50"/>
      <c r="H5" s="50"/>
      <c r="I5" s="50"/>
      <c r="J5" s="2"/>
      <c r="K5" s="2"/>
      <c r="L5" s="2"/>
    </row>
    <row r="6" spans="1:1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7" customHeight="1">
      <c r="A7" s="2"/>
      <c r="B7" s="2"/>
      <c r="C7" s="2"/>
      <c r="D7" s="2"/>
      <c r="E7" s="2"/>
      <c r="F7" s="2"/>
      <c r="G7" s="51" t="s">
        <v>0</v>
      </c>
      <c r="H7" s="52"/>
      <c r="I7" s="52"/>
      <c r="J7" s="52"/>
      <c r="K7" s="2"/>
      <c r="L7" s="2"/>
    </row>
    <row r="8" spans="1:12" ht="21.75" customHeight="1">
      <c r="A8" s="2"/>
      <c r="B8" s="2"/>
      <c r="C8" s="2"/>
      <c r="D8" s="2"/>
      <c r="E8" s="2"/>
      <c r="F8" s="2"/>
      <c r="G8" s="52"/>
      <c r="H8" s="52"/>
      <c r="I8" s="52"/>
      <c r="J8" s="52"/>
      <c r="K8" s="2"/>
      <c r="L8" s="2"/>
    </row>
    <row r="9" spans="1:12">
      <c r="A9" s="2"/>
      <c r="B9" s="2"/>
      <c r="C9" s="3" t="s">
        <v>1</v>
      </c>
      <c r="D9" s="33">
        <v>300</v>
      </c>
      <c r="E9" s="2" t="s">
        <v>7</v>
      </c>
      <c r="F9" s="3" t="s">
        <v>4</v>
      </c>
      <c r="G9" s="33">
        <v>35</v>
      </c>
      <c r="H9" s="2" t="s">
        <v>8</v>
      </c>
      <c r="I9" s="2"/>
      <c r="J9" s="2"/>
      <c r="K9" s="2"/>
      <c r="L9" s="2"/>
    </row>
    <row r="10" spans="1:12" ht="15">
      <c r="A10" s="2"/>
      <c r="B10" s="2"/>
      <c r="C10" s="3" t="s">
        <v>2</v>
      </c>
      <c r="D10" s="33">
        <v>340</v>
      </c>
      <c r="E10" s="2" t="s">
        <v>7</v>
      </c>
      <c r="F10" s="3" t="s">
        <v>5</v>
      </c>
      <c r="G10" s="33">
        <v>300</v>
      </c>
      <c r="H10" s="2" t="s">
        <v>8</v>
      </c>
      <c r="I10" s="2"/>
      <c r="J10" s="2"/>
      <c r="K10" s="2"/>
      <c r="L10" s="2"/>
    </row>
    <row r="11" spans="1:12" ht="15">
      <c r="A11" s="2"/>
      <c r="B11" s="2"/>
      <c r="C11" s="3" t="s">
        <v>3</v>
      </c>
      <c r="D11" s="33">
        <v>60</v>
      </c>
      <c r="E11" s="2" t="s">
        <v>7</v>
      </c>
      <c r="F11" s="3" t="s">
        <v>6</v>
      </c>
      <c r="G11" s="33">
        <v>250.16</v>
      </c>
      <c r="H11" s="2" t="s">
        <v>9</v>
      </c>
      <c r="I11" s="2"/>
      <c r="J11" s="2"/>
      <c r="K11" s="2"/>
      <c r="L11" s="2"/>
    </row>
    <row r="12" spans="1:12">
      <c r="A12" s="2"/>
      <c r="B12" s="44">
        <f>IF(fc&lt;=30,0.85,IF(AND(fc&gt;30,fc&lt;55),(0.85-(0.008*(fc-30))),0.65))</f>
        <v>0.80999999999999994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2"/>
      <c r="B14" s="2"/>
      <c r="C14" s="2"/>
      <c r="D14" s="2"/>
      <c r="E14" s="2"/>
      <c r="F14" s="2"/>
      <c r="G14" s="4">
        <f>(B12*0.85*0.6*fc*600)/(0.85*fy*900)</f>
        <v>3.7799999999999993E-2</v>
      </c>
      <c r="H14" s="2"/>
      <c r="I14" s="2"/>
      <c r="J14" s="2"/>
      <c r="K14" s="2"/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5">
        <f>G14*b*d</f>
        <v>3855.5999999999995</v>
      </c>
      <c r="F17" s="2" t="s">
        <v>10</v>
      </c>
      <c r="G17" s="2"/>
      <c r="H17" s="2"/>
      <c r="I17" s="2"/>
      <c r="J17" s="2"/>
      <c r="K17" s="2"/>
      <c r="L17" s="2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>
        <f>(E17*0.85*fy)/(0.85*0.6*fc*b)</f>
        <v>183.59999999999997</v>
      </c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2"/>
      <c r="E23" s="2"/>
      <c r="F23" s="2"/>
      <c r="G23" s="4">
        <f>((E17*0.85*fy*d)-(E17*0.85*fy*0.5*E20))*0.000001</f>
        <v>244.02477959999996</v>
      </c>
      <c r="H23" s="2" t="s">
        <v>9</v>
      </c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2"/>
      <c r="D25" s="2"/>
      <c r="E25" s="2"/>
      <c r="F25" s="2"/>
      <c r="G25" s="53" t="str">
        <f>IF(G23&lt;=Mu,"مقطع نیاز به آرماتور فشاری دارد","مقطع نیاز به آرماتور فشاری ندارد")</f>
        <v>مقطع نیاز به آرماتور فشاری دارد</v>
      </c>
      <c r="H25" s="53"/>
      <c r="I25" s="53"/>
      <c r="J25" s="53"/>
      <c r="K25" s="2"/>
      <c r="L25" s="2"/>
    </row>
    <row r="26" spans="1:12" ht="20.25" customHeight="1">
      <c r="A26" s="2"/>
      <c r="B26" s="2"/>
      <c r="C26" s="2"/>
      <c r="D26" s="2"/>
      <c r="E26" s="2"/>
      <c r="F26" s="2"/>
      <c r="G26" s="53"/>
      <c r="H26" s="53"/>
      <c r="I26" s="53"/>
      <c r="J26" s="53"/>
      <c r="K26" s="2"/>
      <c r="L26" s="2"/>
    </row>
    <row r="27" spans="1:12">
      <c r="A27" s="2"/>
      <c r="B27" s="2"/>
      <c r="C27" s="2"/>
      <c r="D27" s="4">
        <f>E17</f>
        <v>3855.5999999999995</v>
      </c>
      <c r="E27" s="2" t="s">
        <v>10</v>
      </c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4">
        <f>G23</f>
        <v>244.02477959999996</v>
      </c>
      <c r="E29" s="2" t="s">
        <v>9</v>
      </c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4">
        <f>Mu-G23</f>
        <v>6.135220400000037</v>
      </c>
      <c r="E31" s="2" t="s">
        <v>9</v>
      </c>
      <c r="F31" s="2"/>
      <c r="G31" s="2"/>
      <c r="H31" s="2"/>
      <c r="I31" s="2"/>
      <c r="J31" s="2"/>
      <c r="K31" s="2"/>
      <c r="L31" s="2"/>
    </row>
    <row r="32" spans="1:12" ht="15" customHeight="1">
      <c r="A32" s="2"/>
      <c r="B32" s="2"/>
      <c r="C32" s="2"/>
      <c r="D32" s="2"/>
      <c r="E32" s="2"/>
      <c r="F32" s="2"/>
      <c r="G32" s="2"/>
      <c r="H32" s="54" t="s">
        <v>14</v>
      </c>
      <c r="I32" s="54"/>
      <c r="J32" s="54"/>
      <c r="K32" s="2"/>
      <c r="L32" s="2"/>
    </row>
    <row r="33" spans="1:13" ht="15" customHeight="1">
      <c r="A33" s="2"/>
      <c r="B33" s="2"/>
      <c r="C33" s="2"/>
      <c r="D33" s="2"/>
      <c r="E33" s="2"/>
      <c r="F33" s="2"/>
      <c r="G33" s="2"/>
      <c r="H33" s="54"/>
      <c r="I33" s="54"/>
      <c r="J33" s="54"/>
      <c r="K33" s="2"/>
      <c r="L33" s="2"/>
    </row>
    <row r="34" spans="1:13" ht="23.25">
      <c r="A34" s="2"/>
      <c r="B34" s="2"/>
      <c r="C34" s="2"/>
      <c r="D34" s="2"/>
      <c r="E34" s="2">
        <f>(D31*1000000)/((0.85*fy)*(d-d΄))</f>
        <v>85.927456582633567</v>
      </c>
      <c r="F34" s="6" t="s">
        <v>12</v>
      </c>
      <c r="G34" s="7"/>
      <c r="H34" s="2"/>
      <c r="I34" s="2">
        <f>E34+D27</f>
        <v>3941.527456582633</v>
      </c>
      <c r="J34" s="2" t="s">
        <v>10</v>
      </c>
      <c r="K34" s="2"/>
      <c r="L34" s="2"/>
    </row>
    <row r="35" spans="1:1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3" ht="20.25">
      <c r="A37" s="2"/>
      <c r="B37" s="34">
        <v>36</v>
      </c>
      <c r="C37" s="8" t="s">
        <v>11</v>
      </c>
      <c r="D37" s="2">
        <f>0.25*PI()*B37^2</f>
        <v>1017.8760197630929</v>
      </c>
      <c r="E37" s="2" t="s">
        <v>10</v>
      </c>
      <c r="F37" s="2"/>
      <c r="G37" s="2"/>
      <c r="H37" s="9">
        <f>ROUNDUP(I34/D37,0)</f>
        <v>4</v>
      </c>
      <c r="I37" s="2">
        <f>H37*D37</f>
        <v>4071.5040790523717</v>
      </c>
      <c r="J37" s="10" t="str">
        <f>IF(I37&gt;=I34,"ok","Notok")</f>
        <v>ok</v>
      </c>
      <c r="K37" s="2"/>
      <c r="L37" s="2"/>
      <c r="M37">
        <f>I34/D37</f>
        <v>3.8723060373305676</v>
      </c>
    </row>
    <row r="38" spans="1:1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3">
      <c r="A40" s="2"/>
      <c r="B40" s="2"/>
      <c r="C40" s="2"/>
      <c r="D40" s="2"/>
      <c r="E40" s="2"/>
      <c r="F40" s="2"/>
      <c r="G40" s="2">
        <f>I37/(b*d)</f>
        <v>3.9916706657376191E-2</v>
      </c>
      <c r="H40" s="2"/>
      <c r="I40" s="2"/>
      <c r="J40" s="2"/>
      <c r="K40" s="2"/>
      <c r="L40" s="2"/>
    </row>
    <row r="41" spans="1:1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3">
      <c r="A43" s="2"/>
      <c r="B43" s="2"/>
      <c r="C43" s="2"/>
      <c r="D43" s="2"/>
      <c r="E43" s="2"/>
      <c r="F43" s="2"/>
      <c r="G43" s="2"/>
      <c r="H43" s="55" t="s">
        <v>15</v>
      </c>
      <c r="I43" s="56"/>
      <c r="J43" s="56"/>
      <c r="K43" s="2"/>
      <c r="L43" s="2"/>
    </row>
    <row r="44" spans="1:13">
      <c r="A44" s="2"/>
      <c r="B44" s="2"/>
      <c r="C44" s="2"/>
      <c r="D44" s="2"/>
      <c r="E44" s="2"/>
      <c r="F44" s="2"/>
      <c r="G44" s="2"/>
      <c r="H44" s="56"/>
      <c r="I44" s="56"/>
      <c r="J44" s="56"/>
      <c r="K44" s="2"/>
      <c r="L44" s="2"/>
    </row>
    <row r="45" spans="1:13">
      <c r="A45" s="2"/>
      <c r="B45" s="2"/>
      <c r="C45" s="2"/>
      <c r="D45" s="2"/>
      <c r="E45" s="2"/>
      <c r="F45" s="2">
        <f>(D31*1000000)/((0.85*fy*(d-d΄)-(0.85*0.6*fc)*(d-d΄)))</f>
        <v>92.395114604982325</v>
      </c>
      <c r="G45" s="2" t="s">
        <v>10</v>
      </c>
      <c r="H45" s="2"/>
      <c r="I45" s="2"/>
      <c r="J45" s="2"/>
      <c r="K45" s="2"/>
      <c r="L45" s="2"/>
    </row>
    <row r="46" spans="1:1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3" ht="20.25">
      <c r="A48" s="2"/>
      <c r="B48" s="34">
        <v>26</v>
      </c>
      <c r="C48" s="11" t="s">
        <v>11</v>
      </c>
      <c r="D48" s="2">
        <f>0.25*PI()*B48^2</f>
        <v>530.92915845667505</v>
      </c>
      <c r="E48" s="2"/>
      <c r="F48" s="2"/>
      <c r="G48" s="2"/>
      <c r="H48" s="9">
        <f>ROUND(F45/D48,0)</f>
        <v>0</v>
      </c>
      <c r="I48" s="2">
        <f>H48*D48</f>
        <v>0</v>
      </c>
      <c r="J48" s="12" t="str">
        <f>IF(I48&gt;=F45,"ok","Notok")</f>
        <v>Notok</v>
      </c>
      <c r="K48" s="2"/>
      <c r="L48" s="2"/>
      <c r="M48">
        <f>F45/D48</f>
        <v>0.17402531605828533</v>
      </c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>
        <f>I48/(b*d)</f>
        <v>0</v>
      </c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24" customHeight="1">
      <c r="A54" s="2"/>
      <c r="B54" s="2"/>
      <c r="C54" s="2"/>
      <c r="D54" s="2"/>
      <c r="E54" s="2"/>
      <c r="F54" s="2"/>
      <c r="G54" s="45" t="s">
        <v>16</v>
      </c>
      <c r="H54" s="46"/>
      <c r="I54" s="46"/>
      <c r="J54" s="46"/>
      <c r="K54" s="2"/>
      <c r="L54" s="2"/>
    </row>
    <row r="55" spans="1:12" ht="21" customHeight="1">
      <c r="A55" s="2"/>
      <c r="B55" s="2"/>
      <c r="C55" s="2"/>
      <c r="D55" s="2"/>
      <c r="E55" s="2"/>
      <c r="F55" s="2"/>
      <c r="G55" s="46"/>
      <c r="H55" s="46"/>
      <c r="I55" s="46"/>
      <c r="J55" s="46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>
        <f>MAX((1.4/fy),(0.25*SQRT(fc)/fy))</f>
        <v>4.9300664859163465E-3</v>
      </c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t="15">
      <c r="A60" s="2"/>
      <c r="B60" s="2"/>
      <c r="C60" s="2"/>
      <c r="D60" s="2"/>
      <c r="E60" s="2"/>
      <c r="F60" s="13">
        <f>600-((d΄*(600+fy))/d)</f>
        <v>441.1764705882353</v>
      </c>
      <c r="G60" s="2"/>
      <c r="H60" s="14">
        <f>IF(F60&lt;=fy,F60,fy)</f>
        <v>300</v>
      </c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>
        <f>G14+(G51*H60/fy)</f>
        <v>3.7799999999999993E-2</v>
      </c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>
        <f>F57</f>
        <v>4.9300664859163465E-3</v>
      </c>
      <c r="E66" s="2"/>
      <c r="F66" s="2">
        <f>G40</f>
        <v>3.9916706657376191E-2</v>
      </c>
      <c r="G66" s="2"/>
      <c r="H66" s="2"/>
      <c r="I66" s="2">
        <f>F63</f>
        <v>3.7799999999999993E-2</v>
      </c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47" t="str">
        <f>IF(F66&lt;=I66,"آرماتور کششی جاری شده است","آرماتور کششی جاری نشده است")</f>
        <v>آرماتور کششی جاری نشده است</v>
      </c>
      <c r="E69" s="47"/>
      <c r="F69" s="47"/>
      <c r="G69" s="47"/>
      <c r="H69" s="2"/>
      <c r="I69" s="2"/>
      <c r="J69" s="2"/>
      <c r="K69" s="2"/>
      <c r="L69" s="2"/>
    </row>
    <row r="70" spans="1:12" ht="21.75" customHeight="1">
      <c r="A70" s="2"/>
      <c r="B70" s="2"/>
      <c r="C70" s="2"/>
      <c r="D70" s="47"/>
      <c r="E70" s="47"/>
      <c r="F70" s="47"/>
      <c r="G70" s="47"/>
      <c r="H70" s="2"/>
      <c r="I70" s="2"/>
      <c r="J70" s="2"/>
      <c r="K70" s="2"/>
      <c r="L70" s="2"/>
    </row>
    <row r="71" spans="1:12" ht="18.75" customHeight="1">
      <c r="A71" s="2"/>
      <c r="B71" s="2"/>
      <c r="C71" s="2"/>
      <c r="D71" s="2"/>
      <c r="E71" s="2"/>
      <c r="F71" s="2"/>
      <c r="G71" s="45" t="s">
        <v>17</v>
      </c>
      <c r="H71" s="46"/>
      <c r="I71" s="46"/>
      <c r="J71" s="46"/>
      <c r="K71" s="2"/>
      <c r="L71" s="2"/>
    </row>
    <row r="72" spans="1:12" ht="22.5" customHeight="1">
      <c r="A72" s="2"/>
      <c r="B72" s="2"/>
      <c r="C72" s="2"/>
      <c r="D72" s="2"/>
      <c r="E72" s="2"/>
      <c r="F72" s="2"/>
      <c r="G72" s="46"/>
      <c r="H72" s="46"/>
      <c r="I72" s="46"/>
      <c r="J72" s="46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ht="15">
      <c r="A74" s="2"/>
      <c r="B74" s="2"/>
      <c r="C74" s="2"/>
      <c r="D74" s="2"/>
      <c r="E74" s="2"/>
      <c r="F74" s="13">
        <f>((d*(600-fy))/d΄)-600</f>
        <v>1100</v>
      </c>
      <c r="G74" s="2"/>
      <c r="H74" s="13">
        <f>IF(F74&lt;=fy,F74,fy)</f>
        <v>300</v>
      </c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>
        <f>G40-(G51*fy/H74)</f>
        <v>3.9916706657376191E-2</v>
      </c>
      <c r="D77" s="2"/>
      <c r="E77" s="2"/>
      <c r="F77" s="2"/>
      <c r="G77" s="2"/>
      <c r="H77" s="4">
        <f>(0.85*0.85*0.6*fc*600*d΄)/((0.85*H74*d)*(600-fy))</f>
        <v>2.0999999999999994E-2</v>
      </c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48" t="str">
        <f>IF(H77&lt;=C77,"آرماتور فشاری جاری شده است","آرماتور فشاری جاری شده است")</f>
        <v>آرماتور فشاری جاری شده است</v>
      </c>
      <c r="E81" s="48"/>
      <c r="F81" s="48"/>
      <c r="G81" s="48"/>
      <c r="H81" s="2"/>
      <c r="I81" s="2"/>
      <c r="J81" s="2"/>
      <c r="K81" s="2"/>
      <c r="L81" s="2"/>
    </row>
    <row r="82" spans="1:12" ht="31.5" customHeight="1">
      <c r="A82" s="2"/>
      <c r="B82" s="2"/>
      <c r="C82" s="2"/>
      <c r="D82" s="48"/>
      <c r="E82" s="48"/>
      <c r="F82" s="48"/>
      <c r="G82" s="48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</sheetData>
  <sheetProtection sheet="1" objects="1" scenarios="1"/>
  <mergeCells count="9">
    <mergeCell ref="G54:J55"/>
    <mergeCell ref="D69:G70"/>
    <mergeCell ref="G71:J72"/>
    <mergeCell ref="D81:G82"/>
    <mergeCell ref="C3:I5"/>
    <mergeCell ref="G7:J8"/>
    <mergeCell ref="G25:J26"/>
    <mergeCell ref="H32:J33"/>
    <mergeCell ref="H43:J44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7"/>
  <sheetViews>
    <sheetView workbookViewId="0">
      <selection activeCell="J13" sqref="J13"/>
    </sheetView>
  </sheetViews>
  <sheetFormatPr defaultRowHeight="14.25"/>
  <cols>
    <col min="8" max="8" width="10" bestFit="1" customWidth="1"/>
    <col min="26" max="26" width="12" bestFit="1" customWidth="1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2"/>
      <c r="B3" s="2"/>
      <c r="C3" s="49" t="s">
        <v>37</v>
      </c>
      <c r="D3" s="50"/>
      <c r="E3" s="50"/>
      <c r="F3" s="50"/>
      <c r="G3" s="50"/>
      <c r="H3" s="50"/>
      <c r="I3" s="50"/>
      <c r="J3" s="2"/>
      <c r="K3" s="2"/>
      <c r="L3" s="2"/>
    </row>
    <row r="4" spans="1:12" ht="30.75" customHeight="1">
      <c r="A4" s="2"/>
      <c r="B4" s="2"/>
      <c r="C4" s="50"/>
      <c r="D4" s="50"/>
      <c r="E4" s="50"/>
      <c r="F4" s="50"/>
      <c r="G4" s="50"/>
      <c r="H4" s="50"/>
      <c r="I4" s="50"/>
      <c r="J4" s="2"/>
      <c r="K4" s="2"/>
      <c r="L4" s="2"/>
    </row>
    <row r="5" spans="1:12" ht="20.25" customHeight="1">
      <c r="A5" s="2"/>
      <c r="B5" s="2"/>
      <c r="C5" s="50"/>
      <c r="D5" s="50"/>
      <c r="E5" s="50"/>
      <c r="F5" s="50"/>
      <c r="G5" s="50"/>
      <c r="H5" s="50"/>
      <c r="I5" s="50"/>
      <c r="J5" s="2"/>
      <c r="K5" s="2"/>
      <c r="L5" s="2"/>
    </row>
    <row r="6" spans="1:1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>
      <c r="A7" s="2"/>
      <c r="B7" s="2"/>
      <c r="C7" s="2"/>
      <c r="D7" s="2"/>
      <c r="E7" s="2"/>
      <c r="F7" s="2"/>
      <c r="G7" s="45" t="s">
        <v>0</v>
      </c>
      <c r="H7" s="58"/>
      <c r="I7" s="58"/>
      <c r="J7" s="58"/>
      <c r="K7" s="2"/>
      <c r="L7" s="2"/>
    </row>
    <row r="8" spans="1:12" ht="22.5" customHeight="1">
      <c r="A8" s="2"/>
      <c r="B8" s="2"/>
      <c r="C8" s="2"/>
      <c r="D8" s="2"/>
      <c r="E8" s="2"/>
      <c r="F8" s="2"/>
      <c r="G8" s="58"/>
      <c r="H8" s="58"/>
      <c r="I8" s="58"/>
      <c r="J8" s="58"/>
      <c r="K8" s="2"/>
      <c r="L8" s="2"/>
    </row>
    <row r="9" spans="1:12">
      <c r="A9" s="2"/>
      <c r="B9" s="2"/>
      <c r="C9" s="3" t="s">
        <v>1</v>
      </c>
      <c r="D9" s="33">
        <v>300</v>
      </c>
      <c r="E9" s="2" t="s">
        <v>7</v>
      </c>
      <c r="F9" s="3" t="s">
        <v>4</v>
      </c>
      <c r="G9" s="33">
        <v>35</v>
      </c>
      <c r="H9" s="2" t="s">
        <v>8</v>
      </c>
      <c r="I9" s="2"/>
      <c r="J9" s="2"/>
      <c r="K9" s="2"/>
      <c r="L9" s="2"/>
    </row>
    <row r="10" spans="1:12" ht="15">
      <c r="A10" s="2"/>
      <c r="B10" s="2"/>
      <c r="C10" s="3" t="s">
        <v>2</v>
      </c>
      <c r="D10" s="33">
        <v>340</v>
      </c>
      <c r="E10" s="2" t="s">
        <v>7</v>
      </c>
      <c r="F10" s="3" t="s">
        <v>5</v>
      </c>
      <c r="G10" s="33">
        <v>400</v>
      </c>
      <c r="H10" s="2" t="s">
        <v>8</v>
      </c>
      <c r="I10" s="2"/>
      <c r="J10" s="2"/>
      <c r="K10" s="2"/>
      <c r="L10" s="2"/>
    </row>
    <row r="11" spans="1:12">
      <c r="A11" s="2"/>
      <c r="B11" s="2"/>
      <c r="C11" s="3"/>
      <c r="D11" s="4"/>
      <c r="E11" s="2"/>
      <c r="F11" s="3" t="s">
        <v>6</v>
      </c>
      <c r="G11" s="33">
        <v>25</v>
      </c>
      <c r="H11" s="2" t="s">
        <v>9</v>
      </c>
      <c r="I11" s="2"/>
      <c r="J11" s="2"/>
      <c r="K11" s="2"/>
      <c r="L11" s="2"/>
    </row>
    <row r="12" spans="1:12">
      <c r="A12" s="2"/>
      <c r="B12" s="43">
        <f>IF(G9&lt;=30,0.85,IF(AND(G9&gt;30,G9&lt;55),(0.85-(0.008*(G9-30))),0.65))</f>
        <v>0.80999999999999994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2"/>
      <c r="B14" s="2"/>
      <c r="C14" s="2"/>
      <c r="D14" s="2"/>
      <c r="E14" s="2"/>
      <c r="F14" s="2"/>
      <c r="G14" s="4">
        <f>(B12*0.85*0.6*G9*600)/(0.85*G10*(G10+600))</f>
        <v>2.5514999999999996E-2</v>
      </c>
      <c r="H14" s="2"/>
      <c r="I14" s="2"/>
      <c r="J14" s="2"/>
      <c r="K14" s="2"/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26">
      <c r="A17" s="2"/>
      <c r="B17" s="2"/>
      <c r="C17" s="2"/>
      <c r="D17" s="2"/>
      <c r="E17" s="5">
        <f>G14*D9*D10</f>
        <v>2602.5299999999997</v>
      </c>
      <c r="F17" s="2" t="s">
        <v>10</v>
      </c>
      <c r="G17" s="2"/>
      <c r="H17" s="2"/>
      <c r="I17" s="2"/>
      <c r="J17" s="2"/>
      <c r="K17" s="2"/>
      <c r="L17" s="2"/>
    </row>
    <row r="18" spans="1:26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26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26">
      <c r="A20" s="2"/>
      <c r="B20" s="2"/>
      <c r="C20" s="2"/>
      <c r="D20" s="2"/>
      <c r="E20" s="2">
        <f>(E17*0.85*G10)/(0.85*0.6*G9*D9)</f>
        <v>165.23999999999998</v>
      </c>
      <c r="F20" s="2"/>
      <c r="G20" s="2"/>
      <c r="H20" s="2"/>
      <c r="I20" s="2"/>
      <c r="J20" s="2"/>
      <c r="K20" s="2"/>
      <c r="L20" s="2"/>
    </row>
    <row r="21" spans="1:26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26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26">
      <c r="A23" s="2"/>
      <c r="B23" s="2"/>
      <c r="C23" s="2"/>
      <c r="D23" s="2"/>
      <c r="E23" s="2"/>
      <c r="F23" s="2"/>
      <c r="G23" s="4">
        <f>((E17*0.85*G10*D10)-(E17*0.85*G10*0.5*E20))*0.000001</f>
        <v>227.74531827600001</v>
      </c>
      <c r="H23" s="2" t="s">
        <v>9</v>
      </c>
      <c r="I23" s="2"/>
      <c r="J23" s="2"/>
      <c r="K23" s="2"/>
      <c r="L23" s="2"/>
    </row>
    <row r="24" spans="1:26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26">
      <c r="A25" s="2"/>
      <c r="B25" s="2"/>
      <c r="C25" s="2"/>
      <c r="D25" s="2"/>
      <c r="E25" s="2"/>
      <c r="F25" s="2"/>
      <c r="G25" s="53" t="str">
        <f>IF(G23&lt;=G11,"مقطع نیاز به آرماتور فشاری دارد","مقطع نیاز به آرماتور فشاری ندارد")</f>
        <v>مقطع نیاز به آرماتور فشاری ندارد</v>
      </c>
      <c r="H25" s="53"/>
      <c r="I25" s="53"/>
      <c r="J25" s="53"/>
      <c r="K25" s="2"/>
      <c r="L25" s="2"/>
    </row>
    <row r="26" spans="1:26">
      <c r="A26" s="2"/>
      <c r="B26" s="2"/>
      <c r="C26" s="2"/>
      <c r="D26" s="2"/>
      <c r="E26" s="2"/>
      <c r="F26" s="2"/>
      <c r="G26" s="53"/>
      <c r="H26" s="53"/>
      <c r="I26" s="53"/>
      <c r="J26" s="53"/>
      <c r="K26" s="2"/>
      <c r="L26" s="2"/>
      <c r="Z26">
        <f>(0.85*0.6*G9*D9*D10)/(0.85*G10)</f>
        <v>5355</v>
      </c>
    </row>
    <row r="27" spans="1:26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Z27">
        <f>((2*G11*1000000)/(0.85*0.6*G9*D9*D10^2))</f>
        <v>8.0770485818318097E-2</v>
      </c>
    </row>
    <row r="28" spans="1:26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Z28">
        <f>SQRT(1-Z27)</f>
        <v>0.95876457703738815</v>
      </c>
    </row>
    <row r="29" spans="1:26">
      <c r="A29" s="2"/>
      <c r="B29" s="2"/>
      <c r="C29" s="2"/>
      <c r="D29" s="2"/>
      <c r="E29" s="2"/>
      <c r="F29" s="2"/>
      <c r="G29" s="2"/>
      <c r="H29" s="2">
        <f>Z26*Z30</f>
        <v>220.81568996478643</v>
      </c>
      <c r="I29" s="2" t="s">
        <v>10</v>
      </c>
      <c r="J29" s="2"/>
      <c r="K29" s="2"/>
      <c r="L29" s="2"/>
    </row>
    <row r="30" spans="1:26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N30">
        <f>ROUNDUP(H29/D32,0)</f>
        <v>1</v>
      </c>
      <c r="Z30">
        <f>1-Z28</f>
        <v>4.1235422962611845E-2</v>
      </c>
    </row>
    <row r="31" spans="1:26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26" ht="20.25">
      <c r="A32" s="2"/>
      <c r="B32" s="35">
        <v>30</v>
      </c>
      <c r="C32" s="11" t="s">
        <v>11</v>
      </c>
      <c r="D32" s="2">
        <f>0.25*PI()*B32^2</f>
        <v>706.85834705770344</v>
      </c>
      <c r="E32" s="2"/>
      <c r="F32" s="2"/>
      <c r="G32" s="2"/>
      <c r="H32" s="36">
        <v>2</v>
      </c>
      <c r="I32" s="2">
        <f>H32*D32</f>
        <v>1413.7166941154069</v>
      </c>
      <c r="J32" s="10" t="str">
        <f>IF(I32&gt;=H29,"ok","Notok")</f>
        <v>ok</v>
      </c>
      <c r="K32" s="2"/>
      <c r="L32" s="2"/>
      <c r="M32">
        <f>H29/D32</f>
        <v>0.3123902984012728</v>
      </c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>
        <f>I32/(D9*D10)</f>
        <v>1.3859967589366733E-2</v>
      </c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>
        <f>MAX((1.4/G10),(0.25*SQRT(G9)/G10))</f>
        <v>3.6975498644372601E-3</v>
      </c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5">
      <c r="A42" s="2"/>
      <c r="B42" s="2"/>
      <c r="C42" s="2"/>
      <c r="D42" s="13">
        <f>F38</f>
        <v>3.6975498644372601E-3</v>
      </c>
      <c r="E42" s="2"/>
      <c r="F42" s="15">
        <f>G35</f>
        <v>1.3859967589366733E-2</v>
      </c>
      <c r="G42" s="2"/>
      <c r="H42" s="2"/>
      <c r="I42" s="13">
        <f>G14</f>
        <v>2.5514999999999996E-2</v>
      </c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5" customHeight="1">
      <c r="A44" s="2"/>
      <c r="B44" s="2"/>
      <c r="C44" s="2"/>
      <c r="D44" s="2"/>
      <c r="E44" s="59" t="str">
        <f>IF(AND(F42&lt;=I42,F42&gt;=D42),"ok","Not ok")</f>
        <v>ok</v>
      </c>
      <c r="F44" s="59"/>
      <c r="G44" s="16"/>
      <c r="H44" s="16"/>
      <c r="I44" s="16"/>
      <c r="J44" s="16"/>
      <c r="K44" s="16"/>
      <c r="L44" s="2"/>
    </row>
    <row r="45" spans="1:12" ht="15" customHeight="1">
      <c r="A45" s="2"/>
      <c r="B45" s="2"/>
      <c r="C45" s="2"/>
      <c r="D45" s="2"/>
      <c r="E45" s="59"/>
      <c r="F45" s="59"/>
      <c r="G45" s="16"/>
      <c r="H45" s="16"/>
      <c r="I45" s="16"/>
      <c r="J45" s="16"/>
      <c r="K45" s="16"/>
      <c r="L45" s="2"/>
    </row>
    <row r="46" spans="1:12" ht="15" customHeight="1">
      <c r="A46" s="2"/>
      <c r="B46" s="2"/>
      <c r="C46" s="57" t="s">
        <v>33</v>
      </c>
      <c r="D46" s="57"/>
      <c r="E46" s="57"/>
      <c r="F46" s="57"/>
      <c r="G46" s="57"/>
      <c r="H46" s="57"/>
      <c r="I46" s="57"/>
      <c r="J46" s="57"/>
      <c r="K46" s="57"/>
      <c r="L46" s="2"/>
    </row>
    <row r="47" spans="1:12" ht="26.25" customHeight="1">
      <c r="A47" s="2"/>
      <c r="B47" s="2"/>
      <c r="C47" s="57"/>
      <c r="D47" s="57"/>
      <c r="E47" s="57"/>
      <c r="F47" s="57"/>
      <c r="G47" s="57"/>
      <c r="H47" s="57"/>
      <c r="I47" s="57"/>
      <c r="J47" s="57"/>
      <c r="K47" s="57"/>
      <c r="L47" s="2"/>
    </row>
  </sheetData>
  <sheetProtection sheet="1" objects="1" scenarios="1"/>
  <mergeCells count="5">
    <mergeCell ref="C46:K47"/>
    <mergeCell ref="C3:I5"/>
    <mergeCell ref="G7:J8"/>
    <mergeCell ref="G25:J26"/>
    <mergeCell ref="E44:F45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9"/>
  <sheetViews>
    <sheetView topLeftCell="A40" zoomScale="115" zoomScaleNormal="115" workbookViewId="0">
      <selection activeCell="M49" sqref="M49"/>
    </sheetView>
  </sheetViews>
  <sheetFormatPr defaultRowHeight="14.25"/>
  <cols>
    <col min="5" max="6" width="9.75" customWidth="1"/>
    <col min="8" max="8" width="9.125" customWidth="1"/>
    <col min="9" max="9" width="10.625" customWidth="1"/>
    <col min="10" max="10" width="7.25" customWidth="1"/>
  </cols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>
      <c r="A2" s="2"/>
      <c r="B2" s="66" t="s">
        <v>34</v>
      </c>
      <c r="C2" s="66"/>
      <c r="D2" s="66"/>
      <c r="E2" s="66"/>
      <c r="F2" s="66"/>
      <c r="G2" s="66"/>
      <c r="H2" s="66"/>
      <c r="I2" s="66"/>
      <c r="J2" s="2"/>
      <c r="K2" s="2"/>
      <c r="L2" s="2"/>
    </row>
    <row r="3" spans="1:12" ht="15" customHeight="1">
      <c r="A3" s="2"/>
      <c r="B3" s="66"/>
      <c r="C3" s="66"/>
      <c r="D3" s="66"/>
      <c r="E3" s="66"/>
      <c r="F3" s="66"/>
      <c r="G3" s="66"/>
      <c r="H3" s="66"/>
      <c r="I3" s="66"/>
      <c r="J3" s="2"/>
      <c r="K3" s="2"/>
      <c r="L3" s="2"/>
    </row>
    <row r="4" spans="1:12" ht="15" customHeight="1">
      <c r="A4" s="2"/>
      <c r="B4" s="66"/>
      <c r="C4" s="66"/>
      <c r="D4" s="66"/>
      <c r="E4" s="66"/>
      <c r="F4" s="66"/>
      <c r="G4" s="66"/>
      <c r="H4" s="66"/>
      <c r="I4" s="66"/>
      <c r="J4" s="2"/>
      <c r="K4" s="2"/>
      <c r="L4" s="2"/>
    </row>
    <row r="5" spans="1:12" ht="15" customHeight="1">
      <c r="A5" s="2"/>
      <c r="B5" s="66"/>
      <c r="C5" s="66"/>
      <c r="D5" s="66"/>
      <c r="E5" s="66"/>
      <c r="F5" s="66"/>
      <c r="G5" s="66"/>
      <c r="H5" s="66"/>
      <c r="I5" s="66"/>
      <c r="J5" s="2"/>
      <c r="K5" s="2"/>
      <c r="L5" s="2"/>
    </row>
    <row r="6" spans="1:12" ht="15" customHeight="1">
      <c r="A6" s="2"/>
      <c r="B6" s="26"/>
      <c r="C6" s="26"/>
      <c r="D6" s="26"/>
      <c r="E6" s="26"/>
      <c r="F6" s="26"/>
      <c r="G6" s="26"/>
      <c r="H6" s="26"/>
      <c r="I6" s="26"/>
      <c r="J6" s="2"/>
      <c r="K6" s="2"/>
      <c r="L6" s="2"/>
    </row>
    <row r="7" spans="1:1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>
      <c r="A8" s="2"/>
      <c r="B8" s="2"/>
      <c r="C8" s="3" t="s">
        <v>1</v>
      </c>
      <c r="D8" s="33">
        <v>400</v>
      </c>
      <c r="E8" s="2" t="s">
        <v>7</v>
      </c>
      <c r="F8" s="3" t="s">
        <v>23</v>
      </c>
      <c r="G8" s="33">
        <v>6</v>
      </c>
      <c r="H8" s="2" t="s">
        <v>22</v>
      </c>
      <c r="I8" s="2"/>
      <c r="J8" s="2"/>
      <c r="K8" s="2"/>
      <c r="L8" s="2"/>
    </row>
    <row r="9" spans="1:12">
      <c r="A9" s="2"/>
      <c r="B9" s="2"/>
      <c r="C9" s="3" t="s">
        <v>2</v>
      </c>
      <c r="D9" s="33">
        <v>560</v>
      </c>
      <c r="E9" s="2" t="s">
        <v>7</v>
      </c>
      <c r="F9" s="3" t="s">
        <v>19</v>
      </c>
      <c r="G9" s="33">
        <v>300</v>
      </c>
      <c r="H9" s="2" t="s">
        <v>8</v>
      </c>
      <c r="I9" s="2"/>
      <c r="J9" s="2"/>
      <c r="K9" s="2"/>
      <c r="L9" s="2"/>
    </row>
    <row r="10" spans="1:12">
      <c r="A10" s="2"/>
      <c r="B10" s="2"/>
      <c r="C10" s="3" t="s">
        <v>18</v>
      </c>
      <c r="D10" s="33">
        <v>600</v>
      </c>
      <c r="E10" s="2" t="s">
        <v>7</v>
      </c>
      <c r="F10" s="3" t="s">
        <v>4</v>
      </c>
      <c r="G10" s="33">
        <v>20</v>
      </c>
      <c r="H10" s="2" t="s">
        <v>8</v>
      </c>
      <c r="I10" s="2"/>
      <c r="J10" s="2"/>
      <c r="K10" s="2"/>
      <c r="L10" s="2"/>
    </row>
    <row r="11" spans="1:1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/>
      <c r="B12" s="2"/>
      <c r="C12" s="2"/>
      <c r="D12" s="2"/>
      <c r="E12" s="39">
        <v>100</v>
      </c>
      <c r="F12" s="4" t="s">
        <v>21</v>
      </c>
      <c r="G12" s="2"/>
      <c r="H12" s="2"/>
      <c r="I12" s="2"/>
      <c r="J12" s="2"/>
      <c r="K12" s="2"/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4">
        <f>0.2*0.6*SQRT(G10)*D9*D8*0.001</f>
        <v>120.2110144703887</v>
      </c>
      <c r="F19" s="2" t="s">
        <v>20</v>
      </c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4">
        <f>E12*((0.5*G8)-(D9*0.001))</f>
        <v>244</v>
      </c>
      <c r="E21" s="4" t="s">
        <v>20</v>
      </c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4">
        <f>E12*D8*0.001*((0.5*G8)-(D9*0.001))</f>
        <v>97.6</v>
      </c>
      <c r="E23" s="2" t="s">
        <v>21</v>
      </c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33">
        <v>45</v>
      </c>
      <c r="D25" s="2" t="s">
        <v>7</v>
      </c>
      <c r="E25" s="33">
        <v>10</v>
      </c>
      <c r="F25" s="2"/>
      <c r="G25" s="4">
        <f>(D8-(2*(C25+(0.5*E25))))*(D10-(2*(C25+(0.5*E25))))</f>
        <v>150000</v>
      </c>
      <c r="H25" s="27" t="s">
        <v>10</v>
      </c>
      <c r="I25" s="2"/>
      <c r="J25" s="4">
        <f>2*((D8-(2*(C25+(0.5*E25))))+(D10-(2*(C25+(0.5*E25)))))</f>
        <v>1600</v>
      </c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>
        <f>(2*0.001*(G25^2)*E19)/J25</f>
        <v>3380934.7819796824</v>
      </c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47" t="str">
        <f>IF(D23&gt;(0.25*E27),"پیچش در محاسبات منظور میشود","پیچش در محاسبات منظور نمیشود")</f>
        <v>پیچش در محاسبات منظور نمیشود</v>
      </c>
      <c r="H28" s="47"/>
      <c r="I28" s="47"/>
      <c r="J28" s="47"/>
      <c r="K28" s="2"/>
      <c r="L28" s="2"/>
    </row>
    <row r="29" spans="1:12" ht="22.5" customHeight="1">
      <c r="A29" s="2"/>
      <c r="B29" s="2"/>
      <c r="C29" s="2"/>
      <c r="D29" s="2"/>
      <c r="E29" s="2"/>
      <c r="F29" s="2"/>
      <c r="G29" s="47"/>
      <c r="H29" s="47"/>
      <c r="I29" s="47"/>
      <c r="J29" s="47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62" t="s">
        <v>32</v>
      </c>
      <c r="G36" s="62"/>
      <c r="H36" s="62"/>
      <c r="I36" s="62"/>
      <c r="J36" s="62"/>
      <c r="K36" s="2"/>
      <c r="L36" s="2"/>
    </row>
    <row r="37" spans="1:12">
      <c r="A37" s="2">
        <f>0.5*E12*G8</f>
        <v>300</v>
      </c>
      <c r="B37" s="2" t="s">
        <v>20</v>
      </c>
      <c r="C37" s="2"/>
      <c r="D37" s="2"/>
      <c r="E37" s="2"/>
      <c r="F37" s="62"/>
      <c r="G37" s="62"/>
      <c r="H37" s="62"/>
      <c r="I37" s="62"/>
      <c r="J37" s="62"/>
      <c r="K37" s="2"/>
      <c r="L37" s="2"/>
    </row>
    <row r="38" spans="1:12">
      <c r="A38" s="2"/>
      <c r="B38" s="18">
        <f>D31</f>
        <v>0</v>
      </c>
      <c r="C38" s="2" t="s">
        <v>20</v>
      </c>
      <c r="D38" s="2"/>
      <c r="E38" s="2"/>
      <c r="F38" s="62"/>
      <c r="G38" s="62"/>
      <c r="H38" s="62"/>
      <c r="I38" s="62"/>
      <c r="J38" s="6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4">
        <f>G8/2</f>
        <v>3</v>
      </c>
      <c r="E45" s="4" t="s">
        <v>22</v>
      </c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2" customHeight="1">
      <c r="A47" s="2"/>
      <c r="B47" s="2"/>
      <c r="C47" s="2"/>
      <c r="D47" s="2"/>
      <c r="E47" s="4">
        <f>0.2*0.6*SQRT(G10)*D8*D9*0.001</f>
        <v>120.2110144703887</v>
      </c>
      <c r="F47" s="2" t="s">
        <v>20</v>
      </c>
      <c r="G47" s="2"/>
      <c r="H47" s="2"/>
      <c r="I47" s="2"/>
      <c r="J47" s="2"/>
      <c r="K47" s="2"/>
      <c r="L47" s="2"/>
    </row>
    <row r="48" spans="1:12" ht="19.5" customHeight="1">
      <c r="A48" s="2"/>
      <c r="B48" s="2"/>
      <c r="C48" s="2"/>
      <c r="D48" s="2"/>
      <c r="E48" s="2"/>
      <c r="F48" s="2"/>
      <c r="G48" s="63" t="str">
        <f>IF(F49&gt;D49,"ابعاد مقطع مناسب است","ابعاد مقطع مناسب نیست")</f>
        <v>ابعاد مقطع مناسب است</v>
      </c>
      <c r="H48" s="63"/>
      <c r="I48" s="63"/>
      <c r="J48" s="2"/>
      <c r="K48" s="2"/>
      <c r="L48" s="2"/>
    </row>
    <row r="49" spans="1:12">
      <c r="A49" s="2"/>
      <c r="B49" s="2"/>
      <c r="C49" s="2"/>
      <c r="D49" s="2">
        <f>D21-E47</f>
        <v>123.7889855296113</v>
      </c>
      <c r="E49" s="2"/>
      <c r="F49" s="2">
        <f>4*E47</f>
        <v>480.84405788155482</v>
      </c>
      <c r="G49" s="63"/>
      <c r="H49" s="63"/>
      <c r="I49" s="63"/>
      <c r="J49" s="2"/>
      <c r="K49" s="2"/>
      <c r="L49" s="2"/>
    </row>
    <row r="50" spans="1:12" ht="3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9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32.25" customHeight="1">
      <c r="A52" s="2"/>
      <c r="B52" s="67" t="s">
        <v>30</v>
      </c>
      <c r="C52" s="67"/>
      <c r="D52" s="20">
        <f>E54</f>
        <v>1.2</v>
      </c>
      <c r="E52" s="21">
        <f>D45</f>
        <v>3</v>
      </c>
      <c r="F52" s="64" t="s">
        <v>25</v>
      </c>
      <c r="G52" s="64"/>
      <c r="H52" s="64"/>
      <c r="I52" s="64"/>
      <c r="J52" s="2"/>
      <c r="K52" s="2"/>
      <c r="L52" s="2"/>
    </row>
    <row r="53" spans="1:12" ht="6.75" customHeight="1">
      <c r="A53" s="2"/>
      <c r="B53" s="19"/>
      <c r="C53" s="19"/>
      <c r="D53" s="16"/>
      <c r="E53" s="16"/>
      <c r="F53" s="64"/>
      <c r="G53" s="64"/>
      <c r="H53" s="64"/>
      <c r="I53" s="64"/>
      <c r="J53" s="2"/>
      <c r="K53" s="2"/>
      <c r="L53" s="2"/>
    </row>
    <row r="54" spans="1:12" ht="34.5" customHeight="1">
      <c r="A54" s="2"/>
      <c r="B54" s="67" t="s">
        <v>29</v>
      </c>
      <c r="C54" s="67"/>
      <c r="D54" s="20">
        <f>E56</f>
        <v>0.6</v>
      </c>
      <c r="E54" s="21">
        <f>ROUND((E47)/E12,2)</f>
        <v>1.2</v>
      </c>
      <c r="F54" s="47" t="s">
        <v>24</v>
      </c>
      <c r="G54" s="47"/>
      <c r="H54" s="47"/>
      <c r="I54" s="47"/>
      <c r="J54" s="2"/>
      <c r="K54" s="2"/>
      <c r="L54" s="2"/>
    </row>
    <row r="55" spans="1:12" ht="8.25" customHeight="1">
      <c r="A55" s="2"/>
      <c r="B55" s="19"/>
      <c r="C55" s="19"/>
      <c r="D55" s="16"/>
      <c r="E55" s="16"/>
      <c r="F55" s="47"/>
      <c r="G55" s="47"/>
      <c r="H55" s="47"/>
      <c r="I55" s="47"/>
      <c r="J55" s="2"/>
      <c r="K55" s="2"/>
      <c r="L55" s="2"/>
    </row>
    <row r="56" spans="1:12" ht="44.25">
      <c r="A56" s="2"/>
      <c r="B56" s="67" t="s">
        <v>28</v>
      </c>
      <c r="C56" s="67"/>
      <c r="D56" s="21">
        <v>0</v>
      </c>
      <c r="E56" s="21">
        <f>ROUND((0.5*E47)/E12,2)</f>
        <v>0.6</v>
      </c>
      <c r="F56" s="47" t="s">
        <v>26</v>
      </c>
      <c r="G56" s="47"/>
      <c r="H56" s="47"/>
      <c r="I56" s="47"/>
      <c r="J56" s="2"/>
      <c r="K56" s="2"/>
      <c r="L56" s="2"/>
    </row>
    <row r="57" spans="1:12">
      <c r="A57" s="2"/>
      <c r="B57" s="2"/>
      <c r="C57" s="2"/>
      <c r="D57" s="16"/>
      <c r="E57" s="16"/>
      <c r="F57" s="47"/>
      <c r="G57" s="47"/>
      <c r="H57" s="47"/>
      <c r="I57" s="47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t="18">
      <c r="A59" s="2"/>
      <c r="B59" s="33">
        <v>10</v>
      </c>
      <c r="C59" s="22" t="s">
        <v>11</v>
      </c>
      <c r="D59" s="2">
        <f>0.5*PI()*B59^2</f>
        <v>157.07963267948966</v>
      </c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>
        <f>ROUND((D59*G9)/(0.35*D8),2)</f>
        <v>336.6</v>
      </c>
      <c r="G61" s="2"/>
      <c r="H61" s="37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3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3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3"/>
      <c r="I64" s="2"/>
      <c r="J64" s="2"/>
      <c r="K64" s="2"/>
      <c r="L64" s="2"/>
    </row>
    <row r="65" spans="1:12" ht="18">
      <c r="A65" s="2"/>
      <c r="B65" s="2"/>
      <c r="C65" s="2"/>
      <c r="D65" s="2"/>
      <c r="E65" s="4">
        <f>ROUND((D59*0.85*G9*D9)/(D49*1000),2)</f>
        <v>181.2</v>
      </c>
      <c r="F65" s="2">
        <f>ROUND(F61,2)</f>
        <v>336.6</v>
      </c>
      <c r="G65" s="17">
        <f>IF((AND((2*E47)&lt;=D49,D49&lt;=(4*E47))),MIN((D9/4),600),IF(D49&lt;=(2*E47),MIN((D9/2),"300")))</f>
        <v>280</v>
      </c>
      <c r="I65" s="24" t="str">
        <f>IF(AND(E65&lt;=F65,E65&lt;=G65),"OK","Not OK")</f>
        <v>OK</v>
      </c>
      <c r="J65" s="33">
        <v>180</v>
      </c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3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65">
        <f>IF(D49&lt;=(2*E47),MIN((D9/2),600),"فرمول صحیح نمی باشد")</f>
        <v>280</v>
      </c>
      <c r="H68" s="65"/>
      <c r="I68" s="65"/>
      <c r="K68" s="2"/>
      <c r="L68" s="2"/>
    </row>
    <row r="69" spans="1:12">
      <c r="A69" s="2"/>
      <c r="B69" s="2"/>
      <c r="C69" s="2"/>
      <c r="D69" s="2"/>
      <c r="E69" s="2"/>
      <c r="F69" s="2"/>
      <c r="G69" s="65"/>
      <c r="H69" s="65"/>
      <c r="I69" s="65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60" t="str">
        <f>IF(( AND((2*E47)&lt;=D49, D49&lt;=(4*E47))),MIN((D9/4),300),"فرمول صحیح نمی باشد")</f>
        <v>فرمول صحیح نمی باشد</v>
      </c>
      <c r="H71" s="60"/>
      <c r="I71" s="60"/>
      <c r="J71" s="2"/>
      <c r="K71" s="2"/>
      <c r="L71" s="2"/>
    </row>
    <row r="72" spans="1:12">
      <c r="A72" s="2"/>
      <c r="B72" s="2"/>
      <c r="C72" s="2"/>
      <c r="D72" s="16"/>
      <c r="E72" s="2"/>
      <c r="F72" s="2"/>
      <c r="G72" s="60"/>
      <c r="H72" s="60"/>
      <c r="I72" s="60"/>
      <c r="J72" s="2"/>
      <c r="K72" s="2"/>
      <c r="L72" s="2"/>
    </row>
    <row r="73" spans="1:12" ht="44.25">
      <c r="A73" s="2"/>
      <c r="B73" s="2"/>
      <c r="C73" s="2"/>
      <c r="D73" s="16"/>
      <c r="E73" s="2"/>
      <c r="F73" s="2"/>
      <c r="G73" s="25"/>
      <c r="H73" s="25"/>
      <c r="I73" s="55" t="s">
        <v>31</v>
      </c>
      <c r="J73" s="55"/>
      <c r="K73" s="2"/>
      <c r="L73" s="2"/>
    </row>
    <row r="74" spans="1:12">
      <c r="A74" s="2"/>
      <c r="B74" s="2"/>
      <c r="C74" s="2"/>
      <c r="D74" s="2"/>
      <c r="E74" s="2"/>
      <c r="F74" s="2"/>
      <c r="G74" s="2" t="s">
        <v>27</v>
      </c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>
        <f>(D59*0.85*0.001*G9*D9)/MIN(G65,F65)</f>
        <v>80.110612666539723</v>
      </c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>
        <f>E75+E47</f>
        <v>200.32162713692844</v>
      </c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>
        <f>(D77-(0.5*G8*E12))/(-E12)</f>
        <v>0.99678372863071563</v>
      </c>
      <c r="F79" s="2" t="s">
        <v>22</v>
      </c>
      <c r="G79" s="60" t="str">
        <f>IF(G65&lt;E65,"نمی توانیم فاصله آرماتور ها را تغییر دهییم","ازبر تکیه گاه نیاز به خاموت محاسباتی دارد")</f>
        <v>ازبر تکیه گاه نیاز به خاموت محاسباتی دارد</v>
      </c>
      <c r="H79" s="61"/>
      <c r="I79" s="61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61"/>
      <c r="H80" s="61"/>
      <c r="I80" s="61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>
        <f>B59</f>
        <v>10</v>
      </c>
      <c r="C82" s="17">
        <f>J65</f>
        <v>180</v>
      </c>
      <c r="D82" s="2"/>
      <c r="E82" s="2">
        <f>B59</f>
        <v>10</v>
      </c>
      <c r="F82" s="38">
        <v>280</v>
      </c>
      <c r="G82" s="2"/>
      <c r="H82" s="18">
        <f>B59</f>
        <v>10</v>
      </c>
      <c r="I82" s="5">
        <f>J65</f>
        <v>180</v>
      </c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17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39">
        <v>1</v>
      </c>
      <c r="B86" s="2" t="s">
        <v>22</v>
      </c>
      <c r="C86" s="2"/>
      <c r="D86" s="2"/>
      <c r="E86" s="2"/>
      <c r="F86" s="2"/>
      <c r="G86" s="2"/>
      <c r="H86" s="2"/>
      <c r="I86" s="39">
        <v>1</v>
      </c>
      <c r="J86" s="2" t="s">
        <v>22</v>
      </c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18"/>
      <c r="D88" s="2"/>
      <c r="E88" s="2"/>
      <c r="F88" s="2"/>
      <c r="G88" s="2"/>
      <c r="H88" s="18"/>
      <c r="I88" s="2"/>
      <c r="J88" s="2"/>
      <c r="K88" s="2"/>
      <c r="L88" s="2"/>
    </row>
    <row r="89" spans="1:12">
      <c r="C89" s="2"/>
      <c r="D89" s="2"/>
      <c r="E89" s="2"/>
      <c r="F89" s="2"/>
      <c r="G89" s="2"/>
      <c r="H89" s="2"/>
      <c r="I89" s="2"/>
    </row>
  </sheetData>
  <mergeCells count="14">
    <mergeCell ref="B2:I5"/>
    <mergeCell ref="G28:J29"/>
    <mergeCell ref="B52:C52"/>
    <mergeCell ref="B54:C54"/>
    <mergeCell ref="B56:C56"/>
    <mergeCell ref="G71:I72"/>
    <mergeCell ref="I73:J73"/>
    <mergeCell ref="G79:I80"/>
    <mergeCell ref="F36:J38"/>
    <mergeCell ref="G48:I49"/>
    <mergeCell ref="F52:I53"/>
    <mergeCell ref="F54:I55"/>
    <mergeCell ref="F56:I57"/>
    <mergeCell ref="G68:I69"/>
  </mergeCells>
  <pageMargins left="0.7" right="0.7" top="0.75" bottom="0.75" header="0.3" footer="0.3"/>
  <pageSetup orientation="portrait" horizontalDpi="300" verticalDpi="0" copies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85"/>
  <sheetViews>
    <sheetView topLeftCell="A55" zoomScale="115" zoomScaleNormal="115" workbookViewId="0">
      <selection activeCell="M16" sqref="M16"/>
    </sheetView>
  </sheetViews>
  <sheetFormatPr defaultRowHeight="14.25"/>
  <sheetData>
    <row r="1" spans="1:1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/>
      <c r="B2" s="66" t="s">
        <v>34</v>
      </c>
      <c r="C2" s="66"/>
      <c r="D2" s="66"/>
      <c r="E2" s="66"/>
      <c r="F2" s="66"/>
      <c r="G2" s="66"/>
      <c r="H2" s="66"/>
      <c r="I2" s="66"/>
      <c r="J2" s="2"/>
      <c r="K2" s="2"/>
      <c r="L2" s="2"/>
    </row>
    <row r="3" spans="1:12">
      <c r="A3" s="2"/>
      <c r="B3" s="66"/>
      <c r="C3" s="66"/>
      <c r="D3" s="66"/>
      <c r="E3" s="66"/>
      <c r="F3" s="66"/>
      <c r="G3" s="66"/>
      <c r="H3" s="66"/>
      <c r="I3" s="66"/>
      <c r="J3" s="2"/>
      <c r="K3" s="2"/>
      <c r="L3" s="2"/>
    </row>
    <row r="4" spans="1:12">
      <c r="A4" s="2"/>
      <c r="B4" s="66"/>
      <c r="C4" s="66"/>
      <c r="D4" s="66"/>
      <c r="E4" s="66"/>
      <c r="F4" s="66"/>
      <c r="G4" s="66"/>
      <c r="H4" s="66"/>
      <c r="I4" s="66"/>
      <c r="J4" s="2"/>
      <c r="K4" s="2"/>
      <c r="L4" s="2"/>
    </row>
    <row r="5" spans="1:12">
      <c r="A5" s="2"/>
      <c r="B5" s="66"/>
      <c r="C5" s="66"/>
      <c r="D5" s="66"/>
      <c r="E5" s="66"/>
      <c r="F5" s="66"/>
      <c r="G5" s="66"/>
      <c r="H5" s="66"/>
      <c r="I5" s="66"/>
      <c r="J5" s="2"/>
      <c r="K5" s="2"/>
      <c r="L5" s="2"/>
    </row>
    <row r="6" spans="1:12" ht="12" customHeight="1">
      <c r="A6" s="2"/>
      <c r="B6" s="28"/>
      <c r="C6" s="28"/>
      <c r="D6" s="28"/>
      <c r="E6" s="28"/>
      <c r="F6" s="28"/>
      <c r="G6" s="28"/>
      <c r="H6" s="28"/>
      <c r="I6" s="28"/>
      <c r="J6" s="2"/>
      <c r="K6" s="2"/>
      <c r="L6" s="2"/>
    </row>
    <row r="7" spans="1:1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>
      <c r="A8" s="2"/>
      <c r="B8" s="2"/>
      <c r="C8" s="3" t="s">
        <v>1</v>
      </c>
      <c r="D8" s="33">
        <v>300</v>
      </c>
      <c r="E8" s="2" t="s">
        <v>7</v>
      </c>
      <c r="F8" s="3" t="s">
        <v>23</v>
      </c>
      <c r="G8" s="33">
        <v>7.5</v>
      </c>
      <c r="H8" s="2" t="s">
        <v>22</v>
      </c>
      <c r="I8" s="2"/>
      <c r="J8" s="2"/>
      <c r="K8" s="2"/>
      <c r="L8" s="2"/>
    </row>
    <row r="9" spans="1:12">
      <c r="A9" s="2"/>
      <c r="B9" s="2"/>
      <c r="C9" s="3" t="s">
        <v>2</v>
      </c>
      <c r="D9" s="33">
        <v>340</v>
      </c>
      <c r="E9" s="2" t="s">
        <v>7</v>
      </c>
      <c r="F9" s="3" t="s">
        <v>19</v>
      </c>
      <c r="G9" s="33">
        <v>400</v>
      </c>
      <c r="H9" s="2" t="s">
        <v>8</v>
      </c>
      <c r="I9" s="2"/>
      <c r="J9" s="2"/>
      <c r="K9" s="2"/>
      <c r="L9" s="2"/>
    </row>
    <row r="10" spans="1:12">
      <c r="A10" s="2"/>
      <c r="B10" s="2"/>
      <c r="C10" s="3" t="s">
        <v>18</v>
      </c>
      <c r="D10" s="33">
        <v>400</v>
      </c>
      <c r="E10" s="2" t="s">
        <v>7</v>
      </c>
      <c r="F10" s="3" t="s">
        <v>4</v>
      </c>
      <c r="G10" s="33">
        <v>25</v>
      </c>
      <c r="H10" s="2" t="s">
        <v>8</v>
      </c>
      <c r="I10" s="2"/>
      <c r="J10" s="2"/>
      <c r="K10" s="2"/>
      <c r="L10" s="2"/>
    </row>
    <row r="11" spans="1:1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/>
      <c r="B12" s="2"/>
      <c r="C12" s="2"/>
      <c r="D12" s="2"/>
      <c r="E12" s="39">
        <v>48.6</v>
      </c>
      <c r="F12" s="4" t="s">
        <v>21</v>
      </c>
      <c r="G12" s="2"/>
      <c r="H12" s="2"/>
      <c r="I12" s="2"/>
      <c r="J12" s="2"/>
      <c r="K12" s="2"/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A19" s="2"/>
      <c r="B19" s="2"/>
      <c r="C19" s="2"/>
      <c r="D19" s="2"/>
      <c r="E19" s="4">
        <f>0.2*0.6*SQRT(G10)*D9*D8*0.001</f>
        <v>61.2</v>
      </c>
      <c r="F19" s="2" t="s">
        <v>20</v>
      </c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4">
        <f>E12*((0.5*G8)-(D9*0.001))</f>
        <v>165.726</v>
      </c>
      <c r="E21" s="4" t="s">
        <v>20</v>
      </c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4">
        <f>E12*D8*0.001*((0.5*G8)-(D9*0.001))</f>
        <v>49.717800000000004</v>
      </c>
      <c r="E23" s="2" t="s">
        <v>21</v>
      </c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33">
        <v>45</v>
      </c>
      <c r="D25" s="2" t="s">
        <v>7</v>
      </c>
      <c r="E25" s="33">
        <v>10</v>
      </c>
      <c r="F25" s="2"/>
      <c r="G25" s="4">
        <f>(D8-(2*(C25+(0.5*E25))))*(D10-(2*(C25+(0.5*E25))))</f>
        <v>60000</v>
      </c>
      <c r="H25" s="27" t="s">
        <v>10</v>
      </c>
      <c r="I25" s="2"/>
      <c r="J25" s="4">
        <f>2*((D8-(2*(C25+(0.5*E25))))+(D10-(2*(C25+(0.5*E25)))))</f>
        <v>1000</v>
      </c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>
        <f>(2*0.001*(G25^2)*E19)/J25</f>
        <v>440640</v>
      </c>
      <c r="F27" s="2"/>
      <c r="G27" s="2"/>
      <c r="H27" s="2"/>
      <c r="I27" s="2"/>
      <c r="J27" s="2"/>
      <c r="K27" s="2"/>
      <c r="L27" s="2"/>
    </row>
    <row r="28" spans="1:12" ht="17.25" customHeight="1">
      <c r="A28" s="2"/>
      <c r="B28" s="2"/>
      <c r="C28" s="2"/>
      <c r="D28" s="2"/>
      <c r="E28" s="2"/>
      <c r="F28" s="2"/>
      <c r="G28" s="64" t="str">
        <f>IF(D23&gt;(0.25*E27),"پیچش در محاسبات منظور میشود","پیچش در محاسبات منظور نمیشود")</f>
        <v>پیچش در محاسبات منظور نمیشود</v>
      </c>
      <c r="H28" s="64"/>
      <c r="I28" s="64"/>
      <c r="J28" s="64"/>
      <c r="K28" s="2"/>
      <c r="L28" s="2"/>
    </row>
    <row r="29" spans="1:12" ht="18" customHeight="1">
      <c r="A29" s="2"/>
      <c r="B29" s="2"/>
      <c r="C29" s="2"/>
      <c r="D29" s="2"/>
      <c r="E29" s="2"/>
      <c r="F29" s="2"/>
      <c r="G29" s="64"/>
      <c r="H29" s="64"/>
      <c r="I29" s="64"/>
      <c r="J29" s="64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62" t="s">
        <v>32</v>
      </c>
      <c r="G36" s="62"/>
      <c r="H36" s="62"/>
      <c r="I36" s="62"/>
      <c r="J36" s="62"/>
      <c r="K36" s="2"/>
      <c r="L36" s="2"/>
    </row>
    <row r="37" spans="1:12">
      <c r="A37" s="2">
        <f>0.5*E12*G8</f>
        <v>182.25</v>
      </c>
      <c r="B37" s="2" t="s">
        <v>20</v>
      </c>
      <c r="C37" s="2"/>
      <c r="D37" s="2"/>
      <c r="E37" s="2"/>
      <c r="F37" s="62"/>
      <c r="G37" s="62"/>
      <c r="H37" s="62"/>
      <c r="I37" s="62"/>
      <c r="J37" s="62"/>
      <c r="K37" s="2"/>
      <c r="L37" s="2"/>
    </row>
    <row r="38" spans="1:12">
      <c r="A38" s="2"/>
      <c r="B38" s="18">
        <f>D31</f>
        <v>0</v>
      </c>
      <c r="C38" s="2" t="s">
        <v>20</v>
      </c>
      <c r="D38" s="2"/>
      <c r="E38" s="2"/>
      <c r="F38" s="62"/>
      <c r="G38" s="62"/>
      <c r="H38" s="62"/>
      <c r="I38" s="62"/>
      <c r="J38" s="6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4">
        <f>G8/2</f>
        <v>3.75</v>
      </c>
      <c r="E45" s="4" t="s">
        <v>22</v>
      </c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4">
        <f>0.2*0.6*SQRT(G10)*D8*D9*0.001</f>
        <v>61.2</v>
      </c>
      <c r="F47" s="2" t="s">
        <v>20</v>
      </c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63" t="str">
        <f>IF(F49&gt;D49,"ابعاد مقطع مناسب است","ابعاد مقطع مناسب نیست")</f>
        <v>ابعاد مقطع مناسب است</v>
      </c>
      <c r="H48" s="63"/>
      <c r="I48" s="63"/>
      <c r="J48" s="2"/>
      <c r="K48" s="2"/>
      <c r="L48" s="2"/>
    </row>
    <row r="49" spans="1:12" ht="15.75" customHeight="1">
      <c r="A49" s="2"/>
      <c r="B49" s="2"/>
      <c r="C49" s="2"/>
      <c r="D49" s="2">
        <f>D21-E47</f>
        <v>104.526</v>
      </c>
      <c r="E49" s="2"/>
      <c r="F49" s="2">
        <f>4*E47</f>
        <v>244.8</v>
      </c>
      <c r="G49" s="63"/>
      <c r="H49" s="63"/>
      <c r="I49" s="63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40.5">
      <c r="A51" s="2"/>
      <c r="C51" s="2"/>
      <c r="D51" s="2"/>
      <c r="E51" s="4">
        <f>MAX(0.3*D10,250)</f>
        <v>250</v>
      </c>
      <c r="F51" s="32" t="str">
        <f>IF(E51&lt;=D8,"ok","Not ok")</f>
        <v>ok</v>
      </c>
      <c r="G51" s="73" t="str">
        <f>IF(D8&gt;=E51,"عرض مقطع مناسب است","عرض مقطع کم است")</f>
        <v>عرض مقطع مناسب است</v>
      </c>
      <c r="H51" s="73"/>
      <c r="I51" s="2"/>
      <c r="J51" s="2"/>
      <c r="K51" s="2"/>
      <c r="L51" s="2"/>
    </row>
    <row r="52" spans="1:12" ht="15" customHeight="1">
      <c r="A52" s="2"/>
      <c r="B52" s="2"/>
      <c r="C52" s="2"/>
      <c r="D52" s="2"/>
      <c r="E52" s="16"/>
      <c r="F52" s="29"/>
      <c r="G52" s="29"/>
      <c r="H52" s="29"/>
      <c r="I52" s="29"/>
      <c r="J52" s="2"/>
      <c r="K52" s="2"/>
      <c r="L52" s="2"/>
    </row>
    <row r="53" spans="1:12">
      <c r="A53" s="2"/>
      <c r="B53" s="41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">
      <c r="A54" s="2"/>
      <c r="B54" s="1">
        <v>10</v>
      </c>
      <c r="C54" s="22" t="s">
        <v>11</v>
      </c>
      <c r="D54" s="2">
        <f>0.5*PI()*B54^2</f>
        <v>157.07963267948966</v>
      </c>
      <c r="E54" s="31">
        <f>ROUND(0.5*PI()*8^2,2)</f>
        <v>100.53</v>
      </c>
      <c r="F54" s="32" t="str">
        <f>IF(D54&gt;=E54,"ok","Notok")</f>
        <v>ok</v>
      </c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>
        <f>ROUND((D54*G9)/(0.35*D8),2)</f>
        <v>598.4</v>
      </c>
      <c r="G56" s="2"/>
      <c r="H56" s="23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3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3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3"/>
      <c r="I59" s="2"/>
      <c r="J59" s="2"/>
      <c r="K59" s="2"/>
      <c r="L59" s="2"/>
    </row>
    <row r="60" spans="1:12" ht="18">
      <c r="A60" s="2"/>
      <c r="B60" s="2"/>
      <c r="C60" s="2"/>
      <c r="D60" s="2"/>
      <c r="E60" s="2"/>
      <c r="F60" s="4">
        <f>ROUND((D54*0.85*G9*D9)/(D49*1000),2)</f>
        <v>173.72</v>
      </c>
      <c r="G60" s="2">
        <f>ROUND(F56,2)</f>
        <v>598.4</v>
      </c>
      <c r="H60" s="18">
        <f>C63</f>
        <v>85</v>
      </c>
      <c r="I60" s="24" t="str">
        <f>IF(AND(F60&lt;=G60,F60&lt;=H60),"OK","Not OK")</f>
        <v>Not OK</v>
      </c>
      <c r="J60" s="42">
        <v>80</v>
      </c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3"/>
      <c r="I61" s="2"/>
      <c r="J61" s="2"/>
      <c r="K61" s="2"/>
      <c r="L61" s="2"/>
    </row>
    <row r="62" spans="1:1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2"/>
      <c r="L62" s="2"/>
    </row>
    <row r="63" spans="1:12" ht="15" customHeight="1">
      <c r="A63" s="16"/>
      <c r="B63" s="16"/>
      <c r="C63" s="5">
        <f>(D9/4)</f>
        <v>85</v>
      </c>
      <c r="D63" s="16" t="s">
        <v>7</v>
      </c>
      <c r="E63" s="16"/>
      <c r="F63" s="16"/>
      <c r="G63" s="16"/>
      <c r="H63" s="16"/>
      <c r="I63" s="16"/>
      <c r="J63" s="16"/>
      <c r="K63" s="2"/>
      <c r="L63" s="2"/>
    </row>
    <row r="64" spans="1:12" ht="30.75" customHeight="1">
      <c r="A64" s="2"/>
      <c r="B64" s="2"/>
      <c r="D64" s="2"/>
      <c r="E64" s="2"/>
      <c r="F64" s="2"/>
      <c r="G64" s="25"/>
      <c r="H64" s="25"/>
      <c r="I64" s="55" t="s">
        <v>31</v>
      </c>
      <c r="J64" s="55"/>
      <c r="K64" s="2"/>
      <c r="L64" s="2"/>
    </row>
    <row r="65" spans="1:17">
      <c r="A65" s="2"/>
      <c r="B65" s="2"/>
      <c r="C65" s="2"/>
      <c r="D65" s="2"/>
      <c r="E65" s="2"/>
      <c r="F65" s="2"/>
      <c r="G65" s="2" t="s">
        <v>27</v>
      </c>
      <c r="H65" s="2"/>
      <c r="I65" s="2"/>
      <c r="J65" s="2"/>
      <c r="K65" s="2"/>
      <c r="L65" s="2"/>
    </row>
    <row r="66" spans="1:17">
      <c r="A66" s="2"/>
      <c r="B66" s="2"/>
      <c r="C66" s="2"/>
      <c r="D66" s="2"/>
      <c r="E66" s="2">
        <f>(D54*0.85*0.001*G9*D9)/MIN(H60,G60)</f>
        <v>213.62830044410592</v>
      </c>
      <c r="F66" s="2"/>
      <c r="G66" s="2"/>
      <c r="H66" s="2"/>
      <c r="I66" s="2"/>
      <c r="J66" s="2"/>
      <c r="K66" s="2"/>
      <c r="L66" s="2"/>
    </row>
    <row r="67" spans="1:1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7">
      <c r="A68" s="2"/>
      <c r="B68" s="2"/>
      <c r="C68" s="2"/>
      <c r="D68" s="2">
        <f>E66+E47</f>
        <v>274.82830044410593</v>
      </c>
      <c r="E68" s="2"/>
      <c r="F68" s="2"/>
      <c r="G68" s="2"/>
      <c r="H68" s="2"/>
      <c r="I68" s="2"/>
      <c r="J68" s="2"/>
      <c r="K68" s="2"/>
      <c r="L68" s="2"/>
    </row>
    <row r="69" spans="1:17" ht="11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7" ht="21" customHeight="1">
      <c r="A70" s="2"/>
      <c r="B70" s="2"/>
      <c r="C70" s="2"/>
      <c r="D70" s="2"/>
      <c r="E70" s="2">
        <f>(D68-(0.5*G8*E12))/(-E12)</f>
        <v>-1.9049033013190522</v>
      </c>
      <c r="F70" s="2" t="s">
        <v>22</v>
      </c>
      <c r="G70" s="69" t="str">
        <f>IF(C63&lt;F60,"نمی توانیم فاصله آرماتور ها را تغییر دهییم","ازبر تکیه گاه نیاز به خاموت محاسباتی دارد")</f>
        <v>نمی توانیم فاصله آرماتور ها را تغییر دهییم</v>
      </c>
      <c r="H70" s="70"/>
      <c r="I70" s="70"/>
      <c r="J70" s="2"/>
      <c r="K70" s="2"/>
      <c r="L70" s="2"/>
    </row>
    <row r="71" spans="1:17">
      <c r="A71" s="2"/>
      <c r="B71" s="2"/>
      <c r="C71" s="2"/>
      <c r="D71" s="2"/>
      <c r="E71" s="2"/>
      <c r="F71" s="2"/>
      <c r="G71" s="70"/>
      <c r="H71" s="70"/>
      <c r="I71" s="70"/>
      <c r="J71" s="2"/>
      <c r="K71" s="2"/>
      <c r="L71" s="2"/>
    </row>
    <row r="72" spans="1:17">
      <c r="A72" s="2"/>
      <c r="B72" s="2"/>
      <c r="C72" s="2"/>
      <c r="D72" s="2"/>
      <c r="E72" s="2"/>
      <c r="F72" s="2"/>
      <c r="G72" s="54" t="s">
        <v>35</v>
      </c>
      <c r="H72" s="71"/>
      <c r="I72" s="71"/>
      <c r="J72" s="71"/>
      <c r="K72" s="2"/>
      <c r="L72" s="2"/>
    </row>
    <row r="73" spans="1:17" ht="18.75" customHeight="1">
      <c r="A73" s="2"/>
      <c r="B73" s="2"/>
      <c r="C73" s="2"/>
      <c r="D73" s="2"/>
      <c r="E73" s="2"/>
      <c r="F73" s="2"/>
      <c r="G73" s="71"/>
      <c r="H73" s="71"/>
      <c r="I73" s="71"/>
      <c r="J73" s="71"/>
      <c r="K73" s="2"/>
      <c r="L73" s="2"/>
    </row>
    <row r="74" spans="1:17">
      <c r="A74" s="2"/>
      <c r="B74" s="72" t="s">
        <v>36</v>
      </c>
      <c r="C74" s="72"/>
      <c r="D74" s="72"/>
      <c r="E74" s="2"/>
      <c r="F74" s="2"/>
      <c r="G74" s="2"/>
      <c r="H74" s="2"/>
      <c r="I74" s="2"/>
      <c r="J74" s="2"/>
      <c r="K74" s="2"/>
      <c r="L74" s="2"/>
    </row>
    <row r="75" spans="1:17">
      <c r="A75" s="2"/>
      <c r="B75" s="72"/>
      <c r="C75" s="72"/>
      <c r="D75" s="72"/>
      <c r="E75" s="2"/>
      <c r="F75" s="2"/>
      <c r="G75" s="2"/>
      <c r="H75" s="2"/>
      <c r="I75" s="2"/>
      <c r="J75" s="2"/>
      <c r="K75" s="2"/>
      <c r="L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7">
      <c r="A77" s="2"/>
      <c r="B77" s="2"/>
      <c r="C77" s="2"/>
      <c r="D77" s="33">
        <v>30</v>
      </c>
      <c r="E77" s="2"/>
      <c r="F77" s="2"/>
      <c r="G77" s="2"/>
      <c r="H77" s="2"/>
      <c r="I77" s="2"/>
      <c r="J77" s="2"/>
      <c r="K77" s="2"/>
      <c r="L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7">
      <c r="A79" s="2"/>
      <c r="B79" s="2"/>
      <c r="C79" s="2"/>
      <c r="D79" s="2"/>
      <c r="E79" s="2"/>
      <c r="F79" s="30"/>
      <c r="G79" s="2"/>
      <c r="H79" s="2"/>
      <c r="I79" s="2"/>
      <c r="J79" s="2"/>
      <c r="K79" s="2"/>
      <c r="L79" s="2"/>
      <c r="Q79" s="40"/>
    </row>
    <row r="80" spans="1:17" ht="18">
      <c r="A80" s="2"/>
      <c r="B80" s="2"/>
      <c r="C80" s="2"/>
      <c r="D80" s="2"/>
      <c r="E80" s="2"/>
      <c r="F80" s="35">
        <v>80</v>
      </c>
      <c r="G80" s="2" t="s">
        <v>7</v>
      </c>
      <c r="H80" s="4">
        <f>F60</f>
        <v>173.72</v>
      </c>
      <c r="I80" s="4">
        <f>H60</f>
        <v>85</v>
      </c>
      <c r="J80" s="10" t="str">
        <f>IF(AND(F80&lt;=H80,F80&lt;=I80),"ok","Not ok")</f>
        <v>ok</v>
      </c>
      <c r="K80" s="2"/>
      <c r="L80" s="4">
        <f>MIN(D9/4,8*D77,24*B54,300)</f>
        <v>85</v>
      </c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68" t="str">
        <f>IF(B74="مقطع دارای آرماتور فشاری است","درتمام طول تیر باید از تنگ ویژ ه با قلاب ویژ ه استفاده کرد","در طولی معادل دو برابر ارتفاع مقطع باید از تنگ ویژ ه با قلاب ویژ ه استفاده کرد")</f>
        <v>درتمام طول تیر باید از تنگ ویژ ه با قلاب ویژ ه استفاده کرد</v>
      </c>
      <c r="G82" s="68"/>
      <c r="H82" s="68"/>
      <c r="I82" s="68"/>
      <c r="J82" s="68"/>
      <c r="K82" s="2"/>
      <c r="L82" s="2"/>
    </row>
    <row r="83" spans="1:12" ht="15">
      <c r="A83" s="2"/>
      <c r="B83" s="2"/>
      <c r="C83" s="2"/>
      <c r="D83" s="15" t="str">
        <f>IF(B74="مقطع  آرماتور فشاری ندارد",2*D10*0.001,"")</f>
        <v/>
      </c>
      <c r="E83" s="2"/>
      <c r="F83" s="68"/>
      <c r="G83" s="68"/>
      <c r="H83" s="68"/>
      <c r="I83" s="68"/>
      <c r="J83" s="68"/>
      <c r="K83" s="2"/>
      <c r="L83" s="2"/>
    </row>
    <row r="84" spans="1:12">
      <c r="A84" s="2"/>
      <c r="B84" s="2"/>
      <c r="C84" s="2"/>
      <c r="D84" s="2"/>
      <c r="E84" s="2"/>
      <c r="F84" s="68"/>
      <c r="G84" s="68"/>
      <c r="H84" s="68"/>
      <c r="I84" s="68"/>
      <c r="J84" s="68"/>
      <c r="K84" s="2"/>
      <c r="L84" s="2"/>
    </row>
    <row r="85" spans="1:12">
      <c r="K85" s="2"/>
      <c r="L85" s="2"/>
    </row>
  </sheetData>
  <mergeCells count="10">
    <mergeCell ref="F82:J84"/>
    <mergeCell ref="I64:J64"/>
    <mergeCell ref="G70:I71"/>
    <mergeCell ref="G72:J73"/>
    <mergeCell ref="B2:I5"/>
    <mergeCell ref="G28:J29"/>
    <mergeCell ref="F36:J38"/>
    <mergeCell ref="G48:I49"/>
    <mergeCell ref="B74:D75"/>
    <mergeCell ref="G51:H51"/>
  </mergeCells>
  <dataValidations count="1">
    <dataValidation type="list" allowBlank="1" showInputMessage="1" showErrorMessage="1" sqref="B74:D75">
      <formula1>"مقطع دارای آرماتور فشاری است, مقطع  آرماتور فشاری ندارد"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آرماتور خمشی(کششی+فشاری)</vt:lpstr>
      <vt:lpstr>آرماتور خمشی(کششی)</vt:lpstr>
      <vt:lpstr>برش,</vt:lpstr>
      <vt:lpstr>برش در قاب خمشی ویزه</vt:lpstr>
      <vt:lpstr>b</vt:lpstr>
      <vt:lpstr>d</vt:lpstr>
      <vt:lpstr>d΄</vt:lpstr>
      <vt:lpstr>fc</vt:lpstr>
      <vt:lpstr>fy</vt:lpstr>
      <vt:lpstr>Mu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jalil</dc:creator>
  <cp:lastModifiedBy>jalil</cp:lastModifiedBy>
  <cp:lastPrinted>2002-03-26T21:39:17Z</cp:lastPrinted>
  <dcterms:created xsi:type="dcterms:W3CDTF">2002-03-25T01:51:27Z</dcterms:created>
  <dcterms:modified xsi:type="dcterms:W3CDTF">2002-04-24T17:34:30Z</dcterms:modified>
</cp:coreProperties>
</file>