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4940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5" i="1"/>
  <c r="G34"/>
  <c r="L34"/>
  <c r="J34"/>
  <c r="S30"/>
  <c r="S29"/>
  <c r="Q31"/>
  <c r="K27"/>
  <c r="C14"/>
  <c r="Q25"/>
  <c r="Q24"/>
  <c r="T11"/>
  <c r="C13"/>
  <c r="P10"/>
  <c r="I14"/>
  <c r="P13"/>
  <c r="P12"/>
  <c r="P11"/>
  <c r="K11" s="1"/>
  <c r="H15" s="1"/>
  <c r="F5"/>
  <c r="E5" s="1"/>
  <c r="E7"/>
  <c r="F7" s="1"/>
  <c r="T31" l="1"/>
  <c r="K32" s="1"/>
  <c r="J33" s="1"/>
  <c r="Q21"/>
  <c r="Q22"/>
  <c r="M17"/>
  <c r="R10"/>
  <c r="K19" s="1"/>
  <c r="K20" s="1"/>
  <c r="I17"/>
  <c r="O15"/>
  <c r="K18" l="1"/>
  <c r="D15"/>
  <c r="C15" s="1"/>
  <c r="K15"/>
  <c r="H16" s="1"/>
  <c r="I11" s="1"/>
  <c r="I19" s="1"/>
  <c r="I20" s="1"/>
  <c r="I18" l="1"/>
  <c r="C16"/>
  <c r="E16" s="1"/>
  <c r="K28"/>
  <c r="K29" s="1"/>
  <c r="O16"/>
  <c r="M11" s="1"/>
  <c r="M19" s="1"/>
  <c r="K21" l="1"/>
  <c r="L21" s="1"/>
  <c r="I25"/>
  <c r="J25" s="1"/>
  <c r="K22"/>
  <c r="L22" s="1"/>
  <c r="I21"/>
  <c r="J21" s="1"/>
  <c r="K25"/>
  <c r="L25" s="1"/>
  <c r="I29"/>
  <c r="M29" s="1"/>
  <c r="K30"/>
  <c r="I24"/>
  <c r="I22"/>
  <c r="J22" s="1"/>
  <c r="K24"/>
  <c r="L24" s="1"/>
  <c r="M20"/>
  <c r="I30" l="1"/>
  <c r="I31"/>
  <c r="J24"/>
  <c r="M21"/>
  <c r="N21" s="1"/>
  <c r="M18"/>
  <c r="M24" s="1"/>
  <c r="M22"/>
  <c r="N22" s="1"/>
  <c r="N24" l="1"/>
  <c r="M31"/>
  <c r="M30"/>
  <c r="M25"/>
  <c r="N25" s="1"/>
</calcChain>
</file>

<file path=xl/sharedStrings.xml><?xml version="1.0" encoding="utf-8"?>
<sst xmlns="http://schemas.openxmlformats.org/spreadsheetml/2006/main" count="91" uniqueCount="66">
  <si>
    <t>ضخامت دال</t>
  </si>
  <si>
    <t>مقاومت فشاری بتن</t>
  </si>
  <si>
    <t>مقاومت فشاری بتن در زمان جک زدن</t>
  </si>
  <si>
    <t>cm</t>
  </si>
  <si>
    <t>Kg/cm^2</t>
  </si>
  <si>
    <t>تنش تسلیم فولاد(معمولی)</t>
  </si>
  <si>
    <t>مقاومت نهایی فولاد پیش تنیدگی</t>
  </si>
  <si>
    <t>f'c</t>
  </si>
  <si>
    <t>f'ci</t>
  </si>
  <si>
    <t>0.70 F'c</t>
  </si>
  <si>
    <t>0.75 F'c</t>
  </si>
  <si>
    <t>0.80 F'c</t>
  </si>
  <si>
    <t>بار زنده</t>
  </si>
  <si>
    <t>بار مرده اضافی(کف سازی+پارتیشن)</t>
  </si>
  <si>
    <t>Kg/m^2</t>
  </si>
  <si>
    <t>m</t>
  </si>
  <si>
    <t>فاصله ستونها در امتداد عمود بر صفحه</t>
  </si>
  <si>
    <t>لنگر</t>
  </si>
  <si>
    <t>سرویس</t>
  </si>
  <si>
    <t>دراز مدت</t>
  </si>
  <si>
    <t>ضریبدار</t>
  </si>
  <si>
    <t>a</t>
  </si>
  <si>
    <t>W</t>
  </si>
  <si>
    <t>R</t>
  </si>
  <si>
    <t>X</t>
  </si>
  <si>
    <t>Kg.m/m</t>
  </si>
  <si>
    <t>Kg</t>
  </si>
  <si>
    <t>بالانس</t>
  </si>
  <si>
    <t>Fe</t>
  </si>
  <si>
    <t>تعداد تندانها در عرض نوار طراحی</t>
  </si>
  <si>
    <t>Tendon effective force</t>
  </si>
  <si>
    <t>لنگر بالانس</t>
  </si>
  <si>
    <t>لنگر بار مرده(کل)</t>
  </si>
  <si>
    <t>نسب بار مرده به کل</t>
  </si>
  <si>
    <t>اساس مقطع نوار طراحی</t>
  </si>
  <si>
    <t>cm^3</t>
  </si>
  <si>
    <t>P/A</t>
  </si>
  <si>
    <t>f1</t>
  </si>
  <si>
    <t>f2</t>
  </si>
  <si>
    <t>تنش مجاز</t>
  </si>
  <si>
    <t>کششی</t>
  </si>
  <si>
    <t>فشاری</t>
  </si>
  <si>
    <t>0.6F'ci</t>
  </si>
  <si>
    <t>تنش ها در زمان جک زدن</t>
  </si>
  <si>
    <t>sadeghalavi@yahoo.com</t>
  </si>
  <si>
    <t>0.8F'ci^0.5</t>
  </si>
  <si>
    <t>تنش ها در زمان بهره برداری</t>
  </si>
  <si>
    <t>زنده</t>
  </si>
  <si>
    <t>نسبت بار زنده به کل بار مرده</t>
  </si>
  <si>
    <t>1.6F'c^0.5</t>
  </si>
  <si>
    <t>e</t>
  </si>
  <si>
    <t>M1=P*e</t>
  </si>
  <si>
    <t>Msec=Mbal-M1</t>
  </si>
  <si>
    <t>Mu=1.2Md+1.6ML+Msec</t>
  </si>
  <si>
    <t>0.67F'c^0.5</t>
  </si>
  <si>
    <t>دال نیاز به فولاد گذاری معمولی دارد؟</t>
  </si>
  <si>
    <t>Acf</t>
  </si>
  <si>
    <t>دارد</t>
  </si>
  <si>
    <t>Asmin</t>
  </si>
  <si>
    <t>cm^2</t>
  </si>
  <si>
    <t>TOP</t>
  </si>
  <si>
    <t xml:space="preserve">تعداد آرماتور </t>
  </si>
  <si>
    <t>طول آرماتورها</t>
  </si>
  <si>
    <t>متر</t>
  </si>
  <si>
    <t>حداکثر فاصله آزاد آرماتورها</t>
  </si>
  <si>
    <t>ویرایش دوم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</si>
</sst>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2  Lotus"/>
      <charset val="178"/>
    </font>
    <font>
      <i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1"/>
      <color theme="4" tint="0.39997558519241921"/>
      <name val="Times New Roman"/>
      <family val="1"/>
    </font>
    <font>
      <i/>
      <sz val="11"/>
      <color theme="4" tint="0.39997558519241921"/>
      <name val="Calibri"/>
      <family val="2"/>
      <scheme val="minor"/>
    </font>
    <font>
      <i/>
      <sz val="11"/>
      <color theme="3" tint="0.59999389629810485"/>
      <name val="Times New Roman"/>
      <family val="1"/>
    </font>
    <font>
      <sz val="11"/>
      <color theme="3" tint="0.59999389629810485"/>
      <name val="Calibri"/>
      <family val="2"/>
      <scheme val="minor"/>
    </font>
    <font>
      <sz val="11"/>
      <color theme="3" tint="0.59999389629810485"/>
      <name val="2  Lotus"/>
      <charset val="178"/>
    </font>
    <font>
      <b/>
      <i/>
      <sz val="11"/>
      <color theme="0"/>
      <name val="2  Lotus"/>
      <charset val="178"/>
    </font>
    <font>
      <sz val="11"/>
      <color theme="0"/>
      <name val="2  Lotus"/>
      <charset val="178"/>
    </font>
    <font>
      <i/>
      <sz val="11"/>
      <color theme="0"/>
      <name val="Times New Roman"/>
      <family val="1"/>
    </font>
    <font>
      <u/>
      <sz val="11"/>
      <color theme="10"/>
      <name val="Calibri"/>
      <family val="2"/>
    </font>
    <font>
      <i/>
      <u/>
      <sz val="11"/>
      <color theme="10"/>
      <name val="Times New Roman"/>
      <family val="1"/>
    </font>
    <font>
      <sz val="20"/>
      <color theme="1"/>
      <name val="2  Mitra"/>
      <charset val="178"/>
    </font>
    <font>
      <sz val="11"/>
      <color theme="0"/>
      <name val="Calibri"/>
      <family val="2"/>
      <scheme val="minor"/>
    </font>
    <font>
      <i/>
      <sz val="13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3" fillId="0" borderId="0" xfId="1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10" fillId="6" borderId="1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Protection="1"/>
    <xf numFmtId="1" fontId="2" fillId="3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1" fillId="6" borderId="1" xfId="0" applyFont="1" applyFill="1" applyBorder="1" applyAlignment="1" applyProtection="1">
      <alignment horizontal="right"/>
    </xf>
    <xf numFmtId="0" fontId="1" fillId="0" borderId="0" xfId="0" applyFont="1" applyProtection="1"/>
    <xf numFmtId="0" fontId="14" fillId="4" borderId="0" xfId="0" applyFont="1" applyFill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4" xfId="0" applyBorder="1" applyProtection="1"/>
    <xf numFmtId="1" fontId="6" fillId="0" borderId="0" xfId="0" applyNumberFormat="1" applyFont="1" applyAlignment="1" applyProtection="1"/>
    <xf numFmtId="0" fontId="2" fillId="0" borderId="7" xfId="0" applyFont="1" applyBorder="1" applyAlignment="1" applyProtection="1">
      <alignment horizontal="center"/>
    </xf>
    <xf numFmtId="0" fontId="0" fillId="0" borderId="7" xfId="0" applyBorder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vertical="center"/>
    </xf>
    <xf numFmtId="0" fontId="9" fillId="5" borderId="6" xfId="0" applyFont="1" applyFill="1" applyBorder="1" applyAlignment="1" applyProtection="1">
      <alignment vertical="center"/>
    </xf>
    <xf numFmtId="1" fontId="2" fillId="0" borderId="0" xfId="0" applyNumberFormat="1" applyFont="1" applyAlignment="1" applyProtection="1">
      <alignment horizontal="center"/>
    </xf>
    <xf numFmtId="2" fontId="2" fillId="3" borderId="4" xfId="0" applyNumberFormat="1" applyFont="1" applyFill="1" applyBorder="1" applyAlignment="1" applyProtection="1">
      <alignment horizontal="center"/>
    </xf>
    <xf numFmtId="2" fontId="2" fillId="3" borderId="7" xfId="0" applyNumberFormat="1" applyFont="1" applyFill="1" applyBorder="1" applyAlignment="1" applyProtection="1">
      <alignment horizontal="center"/>
    </xf>
    <xf numFmtId="2" fontId="0" fillId="3" borderId="4" xfId="0" applyNumberFormat="1" applyFill="1" applyBorder="1" applyProtection="1"/>
    <xf numFmtId="2" fontId="0" fillId="3" borderId="7" xfId="0" applyNumberFormat="1" applyFill="1" applyBorder="1" applyProtection="1"/>
    <xf numFmtId="1" fontId="6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1" fontId="0" fillId="7" borderId="0" xfId="0" applyNumberFormat="1" applyFill="1" applyProtection="1"/>
    <xf numFmtId="1" fontId="0" fillId="7" borderId="0" xfId="0" applyNumberFormat="1" applyFill="1" applyAlignment="1" applyProtection="1">
      <alignment horizontal="right"/>
    </xf>
    <xf numFmtId="0" fontId="8" fillId="0" borderId="5" xfId="0" applyFont="1" applyBorder="1" applyProtection="1"/>
    <xf numFmtId="0" fontId="8" fillId="0" borderId="8" xfId="0" applyFont="1" applyBorder="1" applyProtection="1"/>
    <xf numFmtId="0" fontId="0" fillId="7" borderId="0" xfId="0" applyFill="1" applyProtection="1"/>
    <xf numFmtId="164" fontId="0" fillId="7" borderId="0" xfId="0" applyNumberFormat="1" applyFill="1" applyAlignment="1" applyProtection="1">
      <alignment horizontal="left"/>
    </xf>
    <xf numFmtId="0" fontId="10" fillId="5" borderId="0" xfId="0" applyFont="1" applyFill="1" applyAlignment="1" applyProtection="1">
      <alignment horizontal="left"/>
    </xf>
    <xf numFmtId="0" fontId="15" fillId="5" borderId="0" xfId="0" applyFont="1" applyFill="1" applyProtection="1"/>
    <xf numFmtId="1" fontId="11" fillId="5" borderId="0" xfId="0" applyNumberFormat="1" applyFont="1" applyFill="1" applyAlignment="1" applyProtection="1">
      <alignment horizontal="center"/>
    </xf>
    <xf numFmtId="0" fontId="1" fillId="7" borderId="0" xfId="0" applyFont="1" applyFill="1" applyAlignment="1" applyProtection="1">
      <alignment horizontal="center"/>
    </xf>
    <xf numFmtId="164" fontId="7" fillId="0" borderId="0" xfId="0" applyNumberFormat="1" applyFont="1" applyProtection="1"/>
    <xf numFmtId="1" fontId="16" fillId="0" borderId="0" xfId="0" applyNumberFormat="1" applyFont="1" applyAlignment="1" applyProtection="1">
      <alignment horizontal="center"/>
    </xf>
    <xf numFmtId="2" fontId="2" fillId="3" borderId="1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44823</xdr:colOff>
      <xdr:row>1</xdr:row>
      <xdr:rowOff>152400</xdr:rowOff>
    </xdr:from>
    <xdr:to>
      <xdr:col>15</xdr:col>
      <xdr:colOff>112057</xdr:colOff>
      <xdr:row>8</xdr:row>
      <xdr:rowOff>238124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095999" y="342900"/>
          <a:ext cx="6275293" cy="17441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89647</xdr:colOff>
      <xdr:row>54</xdr:row>
      <xdr:rowOff>84044</xdr:rowOff>
    </xdr:from>
    <xdr:to>
      <xdr:col>13</xdr:col>
      <xdr:colOff>468942</xdr:colOff>
      <xdr:row>81</xdr:row>
      <xdr:rowOff>84044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0971" y="12018309"/>
          <a:ext cx="8918177" cy="514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20402</xdr:colOff>
      <xdr:row>0</xdr:row>
      <xdr:rowOff>129117</xdr:rowOff>
    </xdr:from>
    <xdr:to>
      <xdr:col>3</xdr:col>
      <xdr:colOff>550485</xdr:colOff>
      <xdr:row>3</xdr:row>
      <xdr:rowOff>96021</xdr:rowOff>
    </xdr:to>
    <xdr:pic>
      <xdr:nvPicPr>
        <xdr:cNvPr id="5" name="Picture 4" descr="http://us.cdn4.123rf.com/168nwm/yupiramos/yupiramos1104/yupiramos110400012/9314562-hand-pointing-down-with-space-for-insert-text-or-design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361891">
          <a:off x="2030177" y="129117"/>
          <a:ext cx="1044433" cy="538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1706157</xdr:colOff>
      <xdr:row>21</xdr:row>
      <xdr:rowOff>140013</xdr:rowOff>
    </xdr:from>
    <xdr:to>
      <xdr:col>3</xdr:col>
      <xdr:colOff>493293</xdr:colOff>
      <xdr:row>24</xdr:row>
      <xdr:rowOff>77551</xdr:rowOff>
    </xdr:to>
    <xdr:pic>
      <xdr:nvPicPr>
        <xdr:cNvPr id="6" name="Picture 5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719335">
          <a:off x="2156295" y="5191964"/>
          <a:ext cx="643508" cy="107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</xdr:colOff>
      <xdr:row>0</xdr:row>
      <xdr:rowOff>85725</xdr:rowOff>
    </xdr:from>
    <xdr:to>
      <xdr:col>5</xdr:col>
      <xdr:colOff>381000</xdr:colOff>
      <xdr:row>3</xdr:row>
      <xdr:rowOff>86360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81350" y="85725"/>
          <a:ext cx="2266950" cy="5721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581025</xdr:colOff>
      <xdr:row>0</xdr:row>
      <xdr:rowOff>0</xdr:rowOff>
    </xdr:from>
    <xdr:to>
      <xdr:col>12</xdr:col>
      <xdr:colOff>525555</xdr:colOff>
      <xdr:row>1</xdr:row>
      <xdr:rowOff>133350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15125" y="0"/>
          <a:ext cx="3514725" cy="323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219075</xdr:colOff>
      <xdr:row>11</xdr:row>
      <xdr:rowOff>66675</xdr:rowOff>
    </xdr:from>
    <xdr:to>
      <xdr:col>13</xdr:col>
      <xdr:colOff>136711</xdr:colOff>
      <xdr:row>12</xdr:row>
      <xdr:rowOff>238125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prstClr val="black"/>
            <a:schemeClr val="accent3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6353175" y="2743200"/>
          <a:ext cx="4238625" cy="438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1638790</xdr:colOff>
      <xdr:row>52</xdr:row>
      <xdr:rowOff>78443</xdr:rowOff>
    </xdr:from>
    <xdr:to>
      <xdr:col>10</xdr:col>
      <xdr:colOff>600075</xdr:colOff>
      <xdr:row>54</xdr:row>
      <xdr:rowOff>101976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5231" y="11631708"/>
          <a:ext cx="4934020" cy="4045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0</xdr:colOff>
      <xdr:row>32</xdr:row>
      <xdr:rowOff>1</xdr:rowOff>
    </xdr:from>
    <xdr:to>
      <xdr:col>10</xdr:col>
      <xdr:colOff>339379</xdr:colOff>
      <xdr:row>32</xdr:row>
      <xdr:rowOff>224119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duotone>
            <a:prstClr val="black"/>
            <a:schemeClr val="accent2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9099176" y="7620001"/>
          <a:ext cx="339379" cy="224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1725706</xdr:colOff>
      <xdr:row>29</xdr:row>
      <xdr:rowOff>179293</xdr:rowOff>
    </xdr:from>
    <xdr:to>
      <xdr:col>3</xdr:col>
      <xdr:colOff>512842</xdr:colOff>
      <xdr:row>32</xdr:row>
      <xdr:rowOff>195271</xdr:rowOff>
    </xdr:to>
    <xdr:pic>
      <xdr:nvPicPr>
        <xdr:cNvPr id="11" name="Picture 10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719335">
          <a:off x="2175844" y="6968155"/>
          <a:ext cx="643508" cy="107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326871</xdr:colOff>
      <xdr:row>34</xdr:row>
      <xdr:rowOff>154978</xdr:rowOff>
    </xdr:from>
    <xdr:to>
      <xdr:col>5</xdr:col>
      <xdr:colOff>970379</xdr:colOff>
      <xdr:row>40</xdr:row>
      <xdr:rowOff>85114</xdr:rowOff>
    </xdr:to>
    <xdr:pic>
      <xdr:nvPicPr>
        <xdr:cNvPr id="12" name="Picture 11" descr="http://us.cdn4.123rf.com/168nwm/rebirth3d/rebirth3d1103/rebirth3d110300047/9130190-woman-hand-with-index-finger-pointing-up-or-showing-number-on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 xmlns="">
                <a14:imgLayer r:embed="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1636498">
          <a:off x="5380724" y="8268037"/>
          <a:ext cx="643508" cy="107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deghalavi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5"/>
  <sheetViews>
    <sheetView showGridLines="0" tabSelected="1" topLeftCell="A7" zoomScale="85" zoomScaleNormal="85" workbookViewId="0">
      <selection activeCell="C11" sqref="C11"/>
    </sheetView>
  </sheetViews>
  <sheetFormatPr defaultRowHeight="15"/>
  <cols>
    <col min="1" max="1" width="3.125" style="2" bestFit="1" customWidth="1"/>
    <col min="2" max="2" width="23.25" style="2" bestFit="1" customWidth="1"/>
    <col min="3" max="3" width="6.75" style="3" bestFit="1" customWidth="1"/>
    <col min="4" max="4" width="8" style="2" bestFit="1" customWidth="1"/>
    <col min="5" max="5" width="25.25" style="2" bestFit="1" customWidth="1"/>
    <col min="6" max="6" width="13.125" style="2" bestFit="1" customWidth="1"/>
    <col min="7" max="8" width="9" style="2"/>
    <col min="9" max="9" width="13.125" style="2" bestFit="1" customWidth="1"/>
    <col min="10" max="10" width="9" style="2"/>
    <col min="11" max="11" width="7.875" style="2" bestFit="1" customWidth="1"/>
    <col min="12" max="12" width="7.875" style="2" customWidth="1"/>
    <col min="13" max="13" width="9.875" style="2" customWidth="1"/>
    <col min="14" max="14" width="9" style="2"/>
    <col min="15" max="15" width="6.75" style="2" bestFit="1" customWidth="1"/>
    <col min="16" max="16" width="9" style="2"/>
    <col min="17" max="17" width="4.75" style="2" bestFit="1" customWidth="1"/>
    <col min="18" max="18" width="12" style="2" bestFit="1" customWidth="1"/>
    <col min="19" max="19" width="13.375" style="2" bestFit="1" customWidth="1"/>
    <col min="20" max="20" width="5.375" style="4" customWidth="1"/>
    <col min="21" max="16384" width="9" style="2"/>
  </cols>
  <sheetData>
    <row r="2" spans="1:20">
      <c r="B2" s="1" t="s">
        <v>44</v>
      </c>
    </row>
    <row r="4" spans="1:20" ht="15.75" thickBot="1">
      <c r="P4" s="5"/>
      <c r="Q4" s="6">
        <v>15</v>
      </c>
      <c r="R4" s="6">
        <v>300</v>
      </c>
      <c r="S4" s="6" t="s">
        <v>9</v>
      </c>
      <c r="T4" s="6">
        <v>0.7</v>
      </c>
    </row>
    <row r="5" spans="1:20" ht="21" thickTop="1" thickBot="1">
      <c r="B5" s="7" t="s">
        <v>0</v>
      </c>
      <c r="C5" s="27">
        <v>20</v>
      </c>
      <c r="D5" s="8" t="s">
        <v>3</v>
      </c>
      <c r="E5" s="9" t="str">
        <f>IF(C5*0.45&gt;=F5,"مناسب","نامناسب")</f>
        <v>مناسب</v>
      </c>
      <c r="F5" s="10">
        <f>MAX(I10,M10,C12)</f>
        <v>8</v>
      </c>
      <c r="P5" s="5"/>
      <c r="Q5" s="6">
        <v>20</v>
      </c>
      <c r="R5" s="6">
        <v>350</v>
      </c>
      <c r="S5" s="6" t="s">
        <v>10</v>
      </c>
      <c r="T5" s="6">
        <v>0.75</v>
      </c>
    </row>
    <row r="6" spans="1:20" ht="21" thickTop="1" thickBot="1">
      <c r="A6" s="3" t="s">
        <v>7</v>
      </c>
      <c r="B6" s="7" t="s">
        <v>1</v>
      </c>
      <c r="C6" s="27">
        <v>300</v>
      </c>
      <c r="D6" s="8" t="s">
        <v>4</v>
      </c>
      <c r="E6" s="3"/>
      <c r="P6" s="5"/>
      <c r="Q6" s="6">
        <v>25</v>
      </c>
      <c r="R6" s="6">
        <v>400</v>
      </c>
      <c r="S6" s="6" t="s">
        <v>11</v>
      </c>
      <c r="T6" s="6">
        <v>0.8</v>
      </c>
    </row>
    <row r="7" spans="1:20" ht="21" thickTop="1" thickBot="1">
      <c r="A7" s="3" t="s">
        <v>8</v>
      </c>
      <c r="B7" s="7" t="s">
        <v>2</v>
      </c>
      <c r="C7" s="27" t="s">
        <v>9</v>
      </c>
      <c r="D7" s="8" t="s">
        <v>4</v>
      </c>
      <c r="E7" s="11">
        <f>LOOKUP(C7,S4:S6,T4:T6)</f>
        <v>0.7</v>
      </c>
      <c r="F7" s="2">
        <f>E7*C6</f>
        <v>210</v>
      </c>
      <c r="P7" s="5"/>
      <c r="Q7" s="6">
        <v>30</v>
      </c>
      <c r="R7" s="6"/>
      <c r="S7" s="6"/>
      <c r="T7" s="6"/>
    </row>
    <row r="8" spans="1:20" ht="21" thickTop="1" thickBot="1">
      <c r="B8" s="7" t="s">
        <v>5</v>
      </c>
      <c r="C8" s="27">
        <v>2400</v>
      </c>
      <c r="D8" s="8" t="s">
        <v>4</v>
      </c>
      <c r="E8" s="3"/>
      <c r="P8" s="5"/>
      <c r="Q8" s="5"/>
      <c r="R8" s="5"/>
      <c r="S8" s="5"/>
      <c r="T8" s="12"/>
    </row>
    <row r="9" spans="1:20" ht="21" thickTop="1" thickBot="1">
      <c r="B9" s="7" t="s">
        <v>6</v>
      </c>
      <c r="C9" s="27">
        <v>18600</v>
      </c>
      <c r="D9" s="8" t="s">
        <v>4</v>
      </c>
      <c r="E9" s="3"/>
      <c r="P9" s="6" t="s">
        <v>22</v>
      </c>
      <c r="Q9" s="5"/>
      <c r="R9" s="5"/>
      <c r="S9" s="5"/>
      <c r="T9" s="12"/>
    </row>
    <row r="10" spans="1:20" ht="24" thickTop="1" thickBot="1">
      <c r="B10" s="7" t="s">
        <v>12</v>
      </c>
      <c r="C10" s="27">
        <v>350</v>
      </c>
      <c r="D10" s="8" t="s">
        <v>14</v>
      </c>
      <c r="F10" s="3" t="s">
        <v>25</v>
      </c>
      <c r="G10" s="9" t="s">
        <v>17</v>
      </c>
      <c r="I10" s="50">
        <v>6</v>
      </c>
      <c r="J10" s="13" t="s">
        <v>15</v>
      </c>
      <c r="M10" s="50">
        <v>8</v>
      </c>
      <c r="N10" s="13" t="s">
        <v>15</v>
      </c>
      <c r="P10" s="12">
        <f>(C5*24+C11)*0.8</f>
        <v>480</v>
      </c>
      <c r="Q10" s="5" t="s">
        <v>27</v>
      </c>
      <c r="R10" s="5">
        <f>P10/P11</f>
        <v>0.50526315789473686</v>
      </c>
      <c r="S10" s="5" t="s">
        <v>33</v>
      </c>
      <c r="T10" s="12"/>
    </row>
    <row r="11" spans="1:20" ht="21" thickTop="1" thickBot="1">
      <c r="B11" s="7" t="s">
        <v>13</v>
      </c>
      <c r="C11" s="27">
        <v>120</v>
      </c>
      <c r="D11" s="8" t="s">
        <v>14</v>
      </c>
      <c r="F11" s="5"/>
      <c r="G11" s="14" t="s">
        <v>18</v>
      </c>
      <c r="H11" s="6"/>
      <c r="I11" s="6">
        <f>H15*H16-(P11*0.5*H16^2)</f>
        <v>1560.0551749858773</v>
      </c>
      <c r="J11" s="6"/>
      <c r="K11" s="6">
        <f>-(P11*I10^3+P11*M10^3)/(8*(I10+M10))</f>
        <v>-6175</v>
      </c>
      <c r="L11" s="6"/>
      <c r="M11" s="6">
        <f>O15*O16-(P11*0.5*O16^2)</f>
        <v>4777.1329574560277</v>
      </c>
      <c r="N11" s="6"/>
      <c r="O11" s="6"/>
      <c r="P11" s="12">
        <f>C5*24+C11+C10</f>
        <v>950</v>
      </c>
      <c r="S11" s="2" t="s">
        <v>48</v>
      </c>
      <c r="T11" s="4">
        <f>C10/((C5*2400*10^-2)+C11)</f>
        <v>0.58333333333333337</v>
      </c>
    </row>
    <row r="12" spans="1:20" ht="21" thickTop="1" thickBot="1">
      <c r="B12" s="7" t="s">
        <v>16</v>
      </c>
      <c r="C12" s="27">
        <v>7</v>
      </c>
      <c r="D12" s="8" t="s">
        <v>15</v>
      </c>
      <c r="F12" s="5"/>
      <c r="G12" s="14" t="s">
        <v>19</v>
      </c>
      <c r="H12" s="6"/>
      <c r="I12" s="6"/>
      <c r="J12" s="6"/>
      <c r="K12" s="6"/>
      <c r="L12" s="6"/>
      <c r="M12" s="6"/>
      <c r="N12" s="6"/>
      <c r="O12" s="6"/>
      <c r="P12" s="12">
        <f>C5*24+C11+0.5*C10</f>
        <v>775</v>
      </c>
    </row>
    <row r="13" spans="1:20" ht="21" thickTop="1" thickBot="1">
      <c r="B13" s="7" t="s">
        <v>34</v>
      </c>
      <c r="C13" s="8">
        <f>(C12*100*C5^2)/6</f>
        <v>46666.666666666664</v>
      </c>
      <c r="D13" s="8" t="s">
        <v>35</v>
      </c>
      <c r="F13" s="5"/>
      <c r="G13" s="14" t="s">
        <v>20</v>
      </c>
      <c r="H13" s="6"/>
      <c r="I13" s="6"/>
      <c r="J13" s="6"/>
      <c r="K13" s="6"/>
      <c r="L13" s="6"/>
      <c r="M13" s="6"/>
      <c r="N13" s="6"/>
      <c r="O13" s="6"/>
      <c r="P13" s="12">
        <f>1.2*(C5*24+C11)+1.6*C10</f>
        <v>1280</v>
      </c>
    </row>
    <row r="14" spans="1:20" ht="16.5" thickTop="1" thickBot="1">
      <c r="B14" s="15" t="s">
        <v>30</v>
      </c>
      <c r="C14" s="8">
        <f>0.7*C9-0.1*C9</f>
        <v>11160</v>
      </c>
      <c r="D14" s="16"/>
      <c r="F14" s="6" t="s">
        <v>3</v>
      </c>
      <c r="G14" s="6" t="s">
        <v>21</v>
      </c>
      <c r="H14" s="6"/>
      <c r="I14" s="6">
        <f>0.5*(0.5*C5-2.5)+0.5*C5-2.5</f>
        <v>11.25</v>
      </c>
      <c r="J14" s="6"/>
      <c r="K14" s="6"/>
      <c r="L14" s="6"/>
      <c r="M14" s="6"/>
      <c r="N14" s="6"/>
      <c r="O14" s="6"/>
      <c r="P14" s="6"/>
    </row>
    <row r="15" spans="1:20" ht="21" thickTop="1" thickBot="1">
      <c r="B15" s="7" t="s">
        <v>29</v>
      </c>
      <c r="C15" s="17">
        <f>(C12*D15*100/C14)+1</f>
        <v>22.40979689366786</v>
      </c>
      <c r="D15" s="18">
        <f>MAX(I17,M17)</f>
        <v>341.33333333333331</v>
      </c>
      <c r="F15" s="6" t="s">
        <v>26</v>
      </c>
      <c r="G15" s="6" t="s">
        <v>23</v>
      </c>
      <c r="H15" s="6">
        <f>K11/I10+P11*I10*0.5</f>
        <v>1820.8333333333333</v>
      </c>
      <c r="I15" s="6"/>
      <c r="J15" s="6"/>
      <c r="K15" s="6">
        <f>P11*(I10+M10)-O15-H15</f>
        <v>8451.0416666666661</v>
      </c>
      <c r="L15" s="6"/>
      <c r="M15" s="6"/>
      <c r="N15" s="6"/>
      <c r="O15" s="6">
        <f>K11/M10+P11*M10*0.5</f>
        <v>3028.125</v>
      </c>
      <c r="P15" s="6"/>
    </row>
    <row r="16" spans="1:20" ht="18" thickTop="1" thickBot="1">
      <c r="B16" s="19" t="s">
        <v>36</v>
      </c>
      <c r="C16" s="49">
        <f>C15*C14/(C5*C12*100)</f>
        <v>17.863809523809522</v>
      </c>
      <c r="D16" s="8" t="s">
        <v>14</v>
      </c>
      <c r="E16" s="48" t="str">
        <f>IF(AND(C16&gt;8.6,C16&lt;18.9),"OK","BAD")</f>
        <v>OK</v>
      </c>
      <c r="F16" s="6" t="s">
        <v>15</v>
      </c>
      <c r="G16" s="6" t="s">
        <v>24</v>
      </c>
      <c r="H16" s="6">
        <f>(H15/K15)*I10</f>
        <v>1.2927400468384076</v>
      </c>
      <c r="I16" s="6"/>
      <c r="J16" s="6"/>
      <c r="K16" s="6"/>
      <c r="L16" s="6"/>
      <c r="M16" s="6"/>
      <c r="N16" s="6"/>
      <c r="O16" s="6">
        <f>(O15/K15)*M10</f>
        <v>2.8665105386416863</v>
      </c>
      <c r="P16" s="6"/>
    </row>
    <row r="17" spans="2:20" ht="15.75" thickTop="1">
      <c r="F17" s="5"/>
      <c r="G17" s="6" t="s">
        <v>28</v>
      </c>
      <c r="H17" s="6"/>
      <c r="I17" s="35">
        <f>P10*I10^2/(8*I14)</f>
        <v>192</v>
      </c>
      <c r="J17" s="6"/>
      <c r="K17" s="6"/>
      <c r="L17" s="6"/>
      <c r="M17" s="6">
        <f>P10*M10^2/(8*I14)</f>
        <v>341.33333333333331</v>
      </c>
      <c r="N17" s="6"/>
      <c r="O17" s="6"/>
      <c r="P17" s="5"/>
    </row>
    <row r="18" spans="2:20" ht="19.5">
      <c r="F18" s="20" t="s">
        <v>47</v>
      </c>
      <c r="H18" s="3"/>
      <c r="I18" s="30">
        <f>I20*T11</f>
        <v>574.75716973163912</v>
      </c>
      <c r="J18" s="30"/>
      <c r="K18" s="30">
        <f>K20*T11</f>
        <v>-2275</v>
      </c>
      <c r="L18" s="30"/>
      <c r="M18" s="30">
        <f>M20*T11</f>
        <v>1759.9963527469579</v>
      </c>
      <c r="N18" s="3"/>
      <c r="O18" s="3"/>
    </row>
    <row r="19" spans="2:20" ht="19.5">
      <c r="F19" s="20" t="s">
        <v>31</v>
      </c>
      <c r="H19" s="3"/>
      <c r="I19" s="30">
        <f>-R10*I11</f>
        <v>-788.2384042033907</v>
      </c>
      <c r="J19" s="30"/>
      <c r="K19" s="30">
        <f>-K11*R10</f>
        <v>3120</v>
      </c>
      <c r="L19" s="30"/>
      <c r="M19" s="30">
        <f>-R10*M11</f>
        <v>-2413.7092837672562</v>
      </c>
      <c r="N19" s="3"/>
      <c r="O19" s="3"/>
    </row>
    <row r="20" spans="2:20" ht="20.25" thickBot="1">
      <c r="F20" s="20" t="s">
        <v>32</v>
      </c>
      <c r="I20" s="30">
        <f>-1.25*I19</f>
        <v>985.29800525423843</v>
      </c>
      <c r="J20" s="30"/>
      <c r="K20" s="30">
        <f>-1.25*K19</f>
        <v>-3900</v>
      </c>
      <c r="L20" s="30"/>
      <c r="M20" s="30">
        <f>-1.25*M19</f>
        <v>3017.1366047090705</v>
      </c>
      <c r="O20" s="14" t="s">
        <v>39</v>
      </c>
    </row>
    <row r="21" spans="2:20" ht="30.75">
      <c r="B21" s="21" t="s">
        <v>65</v>
      </c>
      <c r="E21" s="28" t="s">
        <v>43</v>
      </c>
      <c r="F21" s="22" t="s">
        <v>37</v>
      </c>
      <c r="G21" s="22" t="s">
        <v>14</v>
      </c>
      <c r="H21" s="23"/>
      <c r="I21" s="31">
        <f>-C16+100*C12*(I19+I20)/C13</f>
        <v>-14.907915508046806</v>
      </c>
      <c r="J21" s="22" t="str">
        <f>IF(OR(AND(I21&lt;0,I21&gt;Q22),AND(I21&gt;0,I21&lt;Q21)),"OK","BAD")</f>
        <v>OK</v>
      </c>
      <c r="K21" s="31">
        <f>-C16+100*C12*(K19+K20)/C13</f>
        <v>-29.563809523809525</v>
      </c>
      <c r="L21" s="22" t="str">
        <f>IF(OR(AND(K21&lt;0,K21&gt;Q22),AND(K21&gt;0,K21&lt;Q21)),"OK","BAD")</f>
        <v>OK</v>
      </c>
      <c r="M21" s="33">
        <f>-C16+100*C12*(M19+M20)/C13</f>
        <v>-8.8123997096823068</v>
      </c>
      <c r="N21" s="22" t="str">
        <f>IF(OR(AND(M21&lt;0,M21&gt;Q22),AND(M21&gt;0,M21&lt;Q21)),"OK","BAD")</f>
        <v>OK</v>
      </c>
      <c r="O21" s="39" t="s">
        <v>40</v>
      </c>
      <c r="P21" s="24" t="s">
        <v>45</v>
      </c>
      <c r="Q21" s="5">
        <f>0.8*F7^0.5</f>
        <v>11.593101396951552</v>
      </c>
      <c r="R21" s="6" t="s">
        <v>14</v>
      </c>
    </row>
    <row r="22" spans="2:20" ht="20.25" thickBot="1">
      <c r="E22" s="29"/>
      <c r="F22" s="25" t="s">
        <v>38</v>
      </c>
      <c r="G22" s="25" t="s">
        <v>14</v>
      </c>
      <c r="H22" s="26"/>
      <c r="I22" s="32">
        <f>-C16-100*C12*(I19+I20)/C13</f>
        <v>-20.819703539572238</v>
      </c>
      <c r="J22" s="25" t="str">
        <f>IF(OR(AND(I22&lt;0,I22&gt;Q22),AND(I22&gt;0,I22&lt;Q21)),"OK","BAD")</f>
        <v>OK</v>
      </c>
      <c r="K22" s="32">
        <f>-C16-100*C12*(K19+K20)/C13</f>
        <v>-6.1638095238095207</v>
      </c>
      <c r="L22" s="25" t="str">
        <f>IF(OR(AND(K22&lt;0,K22&gt;Q22),AND(K22&gt;0,K22&lt;Q21)),"OK","BAD")</f>
        <v>OK</v>
      </c>
      <c r="M22" s="34">
        <f>-C16-100*C12*(M19+M20)/C13</f>
        <v>-26.915219337936737</v>
      </c>
      <c r="N22" s="25" t="str">
        <f>IF(OR(AND(M22&lt;0,M22&gt;Q22),AND(M22&gt;0,M22&lt;Q21)),"OK","BAD")</f>
        <v>OK</v>
      </c>
      <c r="O22" s="40" t="s">
        <v>41</v>
      </c>
      <c r="P22" s="24" t="s">
        <v>42</v>
      </c>
      <c r="Q22" s="5">
        <f>-0.6*F7</f>
        <v>-126</v>
      </c>
      <c r="R22" s="6" t="s">
        <v>14</v>
      </c>
    </row>
    <row r="23" spans="2:20" ht="15.75" thickBot="1">
      <c r="O23" s="5"/>
    </row>
    <row r="24" spans="2:20" ht="19.5">
      <c r="E24" s="28" t="s">
        <v>46</v>
      </c>
      <c r="F24" s="22" t="s">
        <v>37</v>
      </c>
      <c r="G24" s="22" t="s">
        <v>14</v>
      </c>
      <c r="H24" s="23"/>
      <c r="I24" s="31">
        <f>-C16+100*C12*(I20+I19+I18)/C13</f>
        <v>-6.2865579620722194</v>
      </c>
      <c r="J24" s="22" t="str">
        <f>IF(OR(AND(I24&lt;0,I24&gt;Q25),AND(I24&gt;0,I24&lt;Q24)),"OK","BAD")</f>
        <v>OK</v>
      </c>
      <c r="K24" s="31">
        <f>-C16+100*C12*(K20+K19+K18)/C13</f>
        <v>-63.688809523809525</v>
      </c>
      <c r="L24" s="22" t="str">
        <f>IF(OR(AND(K24&lt;0,K24&gt;Q25),AND(K24&gt;0,K24&lt;Q24)),"OK","BAD")</f>
        <v>OK</v>
      </c>
      <c r="M24" s="33">
        <f>-C16+100*C12*(M20+M19+M18)/C13</f>
        <v>17.587545581522065</v>
      </c>
      <c r="N24" s="22" t="str">
        <f>IF(OR(AND(M24&lt;0,M24&gt;Q25),AND(M24&gt;0,M24&lt;Q24)),"OK","BAD")</f>
        <v>OK</v>
      </c>
      <c r="O24" s="39" t="s">
        <v>40</v>
      </c>
      <c r="P24" s="24" t="s">
        <v>49</v>
      </c>
      <c r="Q24" s="5">
        <f>1.6*C6^0.5</f>
        <v>27.712812921102042</v>
      </c>
      <c r="R24" s="6" t="s">
        <v>14</v>
      </c>
    </row>
    <row r="25" spans="2:20" ht="20.25" thickBot="1">
      <c r="E25" s="29"/>
      <c r="F25" s="25" t="s">
        <v>38</v>
      </c>
      <c r="G25" s="25" t="s">
        <v>14</v>
      </c>
      <c r="H25" s="26"/>
      <c r="I25" s="32">
        <f>-C16-100*C12*(I20+I19+I18)/C13</f>
        <v>-29.441061085546824</v>
      </c>
      <c r="J25" s="25" t="str">
        <f>IF(OR(AND(I25&lt;0,I25&gt;Q25),AND(I25&gt;0,I25&lt;Q24)),"OK","BAD")</f>
        <v>OK</v>
      </c>
      <c r="K25" s="32">
        <f>-C16-100*C12*(K20+K19+K18)/C13</f>
        <v>27.961190476190481</v>
      </c>
      <c r="L25" s="25" t="str">
        <f>IF(OR(AND(K25&lt;0,K25&gt;Q25),AND(K25&gt;0,K25&lt;Q24)),"OK","BAD")</f>
        <v>BAD</v>
      </c>
      <c r="M25" s="34">
        <f>-C16-100*C12*(M20+M19+M18)/C13</f>
        <v>-53.315164629141108</v>
      </c>
      <c r="N25" s="25" t="str">
        <f>IF(OR(AND(M25&lt;0,M25&gt;Q25),AND(M25&gt;0,M25&lt;Q24)),"OK","BAD")</f>
        <v>OK</v>
      </c>
      <c r="O25" s="40" t="s">
        <v>41</v>
      </c>
      <c r="P25" s="24" t="s">
        <v>42</v>
      </c>
      <c r="Q25" s="5">
        <f>-0.45*C6</f>
        <v>-135</v>
      </c>
      <c r="R25" s="6" t="s">
        <v>14</v>
      </c>
    </row>
    <row r="27" spans="2:20">
      <c r="E27" s="30" t="s">
        <v>50</v>
      </c>
      <c r="H27" s="30"/>
      <c r="I27" s="30"/>
      <c r="J27" s="30"/>
      <c r="K27" s="30">
        <f>0.5*C5-2.5</f>
        <v>7.5</v>
      </c>
      <c r="L27" s="30"/>
      <c r="M27" s="30"/>
    </row>
    <row r="28" spans="2:20">
      <c r="E28" s="30" t="s">
        <v>51</v>
      </c>
      <c r="H28" s="30"/>
      <c r="I28" s="30"/>
      <c r="J28" s="30"/>
      <c r="K28" s="30">
        <f>K27*C15*I17/100</f>
        <v>322.70107526881714</v>
      </c>
      <c r="L28" s="30"/>
      <c r="M28" s="30"/>
    </row>
    <row r="29" spans="2:20">
      <c r="E29" s="30" t="s">
        <v>52</v>
      </c>
      <c r="H29" s="30"/>
      <c r="I29" s="30">
        <f>0.5*K29</f>
        <v>1398.6494623655915</v>
      </c>
      <c r="J29" s="30"/>
      <c r="K29" s="30">
        <f>K19-K28</f>
        <v>2797.298924731183</v>
      </c>
      <c r="L29" s="30"/>
      <c r="M29" s="30">
        <f>I29</f>
        <v>1398.6494623655915</v>
      </c>
      <c r="S29" s="5">
        <f>C5*0.5*100*(I10+M10)</f>
        <v>14000</v>
      </c>
      <c r="T29" s="12"/>
    </row>
    <row r="30" spans="2:20">
      <c r="E30" s="30" t="s">
        <v>53</v>
      </c>
      <c r="I30" s="30">
        <f>1.2*I20+1.6*I18+I29</f>
        <v>3500.6185402413003</v>
      </c>
      <c r="J30" s="30"/>
      <c r="K30" s="30">
        <f>1.2*K20+1.6*K18+K29</f>
        <v>-5522.7010752688166</v>
      </c>
      <c r="L30" s="30"/>
      <c r="M30" s="30">
        <f>1.2*M20+1.6*M18+M29</f>
        <v>7835.207552411609</v>
      </c>
      <c r="S30" s="5">
        <f>C12*C5*100</f>
        <v>14000</v>
      </c>
      <c r="T30" s="12"/>
    </row>
    <row r="31" spans="2:20" ht="19.5">
      <c r="E31" s="45" t="s">
        <v>55</v>
      </c>
      <c r="I31" s="46" t="str">
        <f>IF(I24&lt;Q31,"نیاز ندارد","نیاز دارد")</f>
        <v>نیاز ندارد</v>
      </c>
      <c r="K31" s="46" t="s">
        <v>57</v>
      </c>
      <c r="M31" s="46" t="str">
        <f>IF(M24&lt;Q31,"نیاز ندارد","نیاز دارد")</f>
        <v>نیاز دارد</v>
      </c>
      <c r="O31" s="6"/>
      <c r="P31" s="6" t="s">
        <v>54</v>
      </c>
      <c r="Q31" s="6">
        <f>0.67*C6^0.5</f>
        <v>11.60474041071148</v>
      </c>
      <c r="R31" s="6" t="s">
        <v>14</v>
      </c>
      <c r="S31" s="5" t="s">
        <v>56</v>
      </c>
      <c r="T31" s="12">
        <f>MAX(S29:S30)</f>
        <v>14000</v>
      </c>
    </row>
    <row r="32" spans="2:20">
      <c r="E32" s="30" t="s">
        <v>58</v>
      </c>
      <c r="K32" s="36">
        <f>0.00075*T31</f>
        <v>10.5</v>
      </c>
      <c r="P32" s="30" t="s">
        <v>59</v>
      </c>
    </row>
    <row r="33" spans="6:12" ht="19.5">
      <c r="H33" s="43" t="s">
        <v>61</v>
      </c>
      <c r="J33" s="37">
        <f>K32/1.13+1</f>
        <v>10.292035398230089</v>
      </c>
      <c r="K33" s="38" t="s">
        <v>60</v>
      </c>
      <c r="L33" s="41"/>
    </row>
    <row r="34" spans="6:12" ht="19.5">
      <c r="F34" s="41" t="s">
        <v>63</v>
      </c>
      <c r="G34" s="42">
        <f>J34+K34+L34</f>
        <v>2.9333333333333336</v>
      </c>
      <c r="H34" s="43" t="s">
        <v>62</v>
      </c>
      <c r="J34" s="5">
        <f>I10/6</f>
        <v>1</v>
      </c>
      <c r="K34" s="5">
        <v>0.5</v>
      </c>
      <c r="L34" s="47">
        <f>M10/6+0.1</f>
        <v>1.4333333333333333</v>
      </c>
    </row>
    <row r="35" spans="6:12">
      <c r="G35" s="44"/>
      <c r="H35" s="44" t="s">
        <v>64</v>
      </c>
      <c r="K35" s="37">
        <f>1.5*C5</f>
        <v>30</v>
      </c>
      <c r="L35" s="41" t="s">
        <v>3</v>
      </c>
    </row>
  </sheetData>
  <sheetProtection password="E5B5" sheet="1" objects="1" scenarios="1" selectLockedCells="1"/>
  <mergeCells count="2">
    <mergeCell ref="E21:E22"/>
    <mergeCell ref="E24:E25"/>
  </mergeCells>
  <conditionalFormatting sqref="E5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ellIs" dxfId="0" priority="2" operator="equal">
      <formula>"نامناسب"</formula>
    </cfRule>
  </conditionalFormatting>
  <dataValidations count="3">
    <dataValidation type="list" allowBlank="1" showInputMessage="1" showErrorMessage="1" sqref="C5">
      <formula1>$Q$4:$Q$7</formula1>
    </dataValidation>
    <dataValidation type="list" allowBlank="1" showInputMessage="1" showErrorMessage="1" sqref="C6">
      <formula1>$R$4:$R$6</formula1>
    </dataValidation>
    <dataValidation type="list" allowBlank="1" showInputMessage="1" showErrorMessage="1" sqref="C7">
      <formula1>$S$4:$S$6</formula1>
    </dataValidation>
  </dataValidations>
  <hyperlinks>
    <hyperlink ref="B2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NAZBANOO</dc:creator>
  <cp:lastModifiedBy>NAZBANOO</cp:lastModifiedBy>
  <dcterms:created xsi:type="dcterms:W3CDTF">2017-01-31T15:12:30Z</dcterms:created>
  <dcterms:modified xsi:type="dcterms:W3CDTF">2017-02-09T06:54:31Z</dcterms:modified>
</cp:coreProperties>
</file>