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S\Downloads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 s="1"/>
  <c r="C47" i="1" l="1"/>
  <c r="C46" i="1" s="1"/>
  <c r="C48" i="1" s="1"/>
  <c r="C34" i="1" s="1"/>
  <c r="C40" i="1"/>
  <c r="C28" i="1"/>
  <c r="C29" i="1"/>
  <c r="C41" i="1" s="1"/>
  <c r="C23" i="1"/>
  <c r="C24" i="1"/>
  <c r="C22" i="1"/>
  <c r="C27" i="1" l="1"/>
  <c r="A50" i="1" s="1"/>
  <c r="C39" i="1"/>
  <c r="C26" i="1"/>
  <c r="C25" i="1"/>
  <c r="C31" i="1" s="1"/>
  <c r="C32" i="1" l="1"/>
  <c r="C50" i="1"/>
  <c r="A51" i="1"/>
  <c r="C51" i="1" s="1"/>
  <c r="C21" i="1"/>
  <c r="D26" i="1"/>
  <c r="D27" i="1"/>
  <c r="C42" i="1"/>
  <c r="C17" i="1" s="1"/>
  <c r="C16" i="1"/>
  <c r="C37" i="1" l="1"/>
  <c r="C15" i="1"/>
  <c r="A32" i="1"/>
  <c r="D50" i="1"/>
  <c r="E50" i="1" s="1"/>
  <c r="F50" i="1" s="1"/>
  <c r="A11" i="1"/>
  <c r="D51" i="1" l="1"/>
  <c r="E51" i="1" s="1"/>
  <c r="F51" i="1" s="1"/>
  <c r="E11" i="1" s="1"/>
</calcChain>
</file>

<file path=xl/comments1.xml><?xml version="1.0" encoding="utf-8"?>
<comments xmlns="http://schemas.openxmlformats.org/spreadsheetml/2006/main">
  <authors>
    <author>N.S</author>
    <author>USER</author>
  </authors>
  <commentList>
    <comment ref="C10" authorId="0" shapeId="0">
      <text>
        <r>
          <rPr>
            <sz val="9"/>
            <color indexed="81"/>
            <rFont val="Tahoma"/>
          </rPr>
          <t xml:space="preserve">فاصله پیچها با لحاظ سخت کننده بین پیچها 12 سانتیمتر در نظر گرفته شده
</t>
        </r>
      </text>
    </comment>
    <comment ref="C12" authorId="1" shapeId="0">
      <text>
        <r>
          <rPr>
            <sz val="9"/>
            <color indexed="81"/>
            <rFont val="Tahoma"/>
            <family val="2"/>
          </rPr>
          <t xml:space="preserve">در صورت استفاده از پیچ 10.9 استفاده از واشر سخت الزامی میباشد.
</t>
        </r>
      </text>
    </comment>
  </commentList>
</comments>
</file>

<file path=xl/sharedStrings.xml><?xml version="1.0" encoding="utf-8"?>
<sst xmlns="http://schemas.openxmlformats.org/spreadsheetml/2006/main" count="51" uniqueCount="40">
  <si>
    <t>عرض ورق اتصال</t>
  </si>
  <si>
    <t>قطر پیچها</t>
  </si>
  <si>
    <t>ردۀ مقاومتی پیچها</t>
  </si>
  <si>
    <t>قاب خمشی</t>
  </si>
  <si>
    <t>Pb</t>
  </si>
  <si>
    <t>S</t>
  </si>
  <si>
    <t>Pfi</t>
  </si>
  <si>
    <t>h0</t>
  </si>
  <si>
    <t>ارتفاع کل مقطع</t>
  </si>
  <si>
    <t>h4</t>
  </si>
  <si>
    <t>h3</t>
  </si>
  <si>
    <t>g</t>
  </si>
  <si>
    <t>Yp down</t>
  </si>
  <si>
    <t>Yp top</t>
  </si>
  <si>
    <t>Yp total</t>
  </si>
  <si>
    <t>لنگر طراحی</t>
  </si>
  <si>
    <t>Z</t>
  </si>
  <si>
    <t>ضخامت ورق اتصال</t>
  </si>
  <si>
    <t>قطر پیچ محاسباتی</t>
  </si>
  <si>
    <t>ضخامت ورق پیوستگی</t>
  </si>
  <si>
    <t>ضخامت سخت کننده قطری</t>
  </si>
  <si>
    <t>مقاومت طراحی لهیدگی جان</t>
  </si>
  <si>
    <t>Kg</t>
  </si>
  <si>
    <t>مقاومت طراحی برش جان</t>
  </si>
  <si>
    <t>Fsu DS</t>
  </si>
  <si>
    <t>Pu CP</t>
  </si>
  <si>
    <t>y</t>
  </si>
  <si>
    <t>A total</t>
  </si>
  <si>
    <t>تعداد ردیف پیچهای ناحیه کششی</t>
  </si>
  <si>
    <t>cm</t>
  </si>
  <si>
    <t>mm</t>
  </si>
  <si>
    <t>عرض بال تیر</t>
  </si>
  <si>
    <t>ضخامت بال تیر</t>
  </si>
  <si>
    <t>ارتفاع خالص جان تیر</t>
  </si>
  <si>
    <t>ضخامت جان تیر</t>
  </si>
  <si>
    <t>A325</t>
  </si>
  <si>
    <t>A490</t>
  </si>
  <si>
    <t>D/C</t>
  </si>
  <si>
    <t>98/1/15</t>
  </si>
  <si>
    <t>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</si>
</sst>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sz val="11"/>
      <color theme="4" tint="0.59999389629810485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4" tint="0.59999389629810485"/>
      <name val="B Lotus"/>
      <charset val="178"/>
    </font>
    <font>
      <sz val="11"/>
      <color theme="4" tint="0.39997558519241921"/>
      <name val="B Lotus"/>
      <charset val="178"/>
    </font>
    <font>
      <sz val="11"/>
      <color theme="4" tint="0.39997558519241921"/>
      <name val="Calibri"/>
      <family val="2"/>
      <scheme val="minor"/>
    </font>
    <font>
      <i/>
      <sz val="11"/>
      <color theme="4" tint="0.39997558519241921"/>
      <name val="Times New Roman"/>
      <family val="1"/>
    </font>
    <font>
      <i/>
      <sz val="11"/>
      <color theme="4" tint="0.39997558519241921"/>
      <name val="Calibri"/>
      <family val="2"/>
      <scheme val="minor"/>
    </font>
    <font>
      <sz val="11"/>
      <color theme="0"/>
      <name val="B Lotus"/>
      <charset val="178"/>
    </font>
    <font>
      <sz val="9"/>
      <color indexed="81"/>
      <name val="Tahoma"/>
      <family val="2"/>
    </font>
    <font>
      <i/>
      <sz val="11"/>
      <color theme="5" tint="-0.249977111117893"/>
      <name val="Times New Roman"/>
      <family val="1"/>
    </font>
    <font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9" fillId="2" borderId="1" xfId="0" applyFont="1" applyFill="1" applyBorder="1" applyProtection="1"/>
    <xf numFmtId="0" fontId="3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9" fillId="3" borderId="1" xfId="0" applyFont="1" applyFill="1" applyBorder="1" applyProtection="1"/>
    <xf numFmtId="2" fontId="3" fillId="0" borderId="1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8" fillId="0" borderId="0" xfId="0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9" fillId="4" borderId="1" xfId="0" applyFont="1" applyFill="1" applyBorder="1" applyProtection="1"/>
    <xf numFmtId="0" fontId="11" fillId="0" borderId="0" xfId="0" applyFont="1" applyAlignment="1" applyProtection="1">
      <alignment horizontal="left"/>
    </xf>
    <xf numFmtId="0" fontId="3" fillId="5" borderId="1" xfId="0" applyFont="1" applyFill="1" applyBorder="1" applyAlignment="1" applyProtection="1">
      <alignment horizontal="center"/>
    </xf>
    <xf numFmtId="2" fontId="3" fillId="5" borderId="1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3" Type="http://schemas.openxmlformats.org/officeDocument/2006/relationships/image" Target="../media/image3.png"/><Relationship Id="rId21" Type="http://schemas.openxmlformats.org/officeDocument/2006/relationships/image" Target="../media/image19.png"/><Relationship Id="rId7" Type="http://schemas.microsoft.com/office/2007/relationships/hdphoto" Target="../media/hdphoto2.wdp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20" Type="http://schemas.openxmlformats.org/officeDocument/2006/relationships/image" Target="../media/image18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png"/><Relationship Id="rId5" Type="http://schemas.microsoft.com/office/2007/relationships/hdphoto" Target="../media/hdphoto1.wdp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19" Type="http://schemas.openxmlformats.org/officeDocument/2006/relationships/image" Target="../media/image17.png"/><Relationship Id="rId4" Type="http://schemas.openxmlformats.org/officeDocument/2006/relationships/image" Target="../media/image4.png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78</xdr:row>
      <xdr:rowOff>85725</xdr:rowOff>
    </xdr:from>
    <xdr:to>
      <xdr:col>21</xdr:col>
      <xdr:colOff>151398</xdr:colOff>
      <xdr:row>85</xdr:row>
      <xdr:rowOff>161749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4944725"/>
          <a:ext cx="8019048" cy="1409524"/>
        </a:xfrm>
        <a:prstGeom prst="rect">
          <a:avLst/>
        </a:prstGeom>
      </xdr:spPr>
    </xdr:pic>
    <xdr:clientData/>
  </xdr:twoCellAnchor>
  <xdr:twoCellAnchor editAs="oneCell">
    <xdr:from>
      <xdr:col>13</xdr:col>
      <xdr:colOff>609600</xdr:colOff>
      <xdr:row>54</xdr:row>
      <xdr:rowOff>104775</xdr:rowOff>
    </xdr:from>
    <xdr:to>
      <xdr:col>19</xdr:col>
      <xdr:colOff>304381</xdr:colOff>
      <xdr:row>57</xdr:row>
      <xdr:rowOff>142799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4538" y="10391775"/>
          <a:ext cx="3409531" cy="609524"/>
        </a:xfrm>
        <a:prstGeom prst="rect">
          <a:avLst/>
        </a:prstGeom>
      </xdr:spPr>
    </xdr:pic>
    <xdr:clientData/>
  </xdr:twoCellAnchor>
  <xdr:twoCellAnchor editAs="oneCell">
    <xdr:from>
      <xdr:col>22</xdr:col>
      <xdr:colOff>438150</xdr:colOff>
      <xdr:row>63</xdr:row>
      <xdr:rowOff>176212</xdr:rowOff>
    </xdr:from>
    <xdr:to>
      <xdr:col>36</xdr:col>
      <xdr:colOff>8511</xdr:colOff>
      <xdr:row>92</xdr:row>
      <xdr:rowOff>99331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35213" y="12177712"/>
          <a:ext cx="8238111" cy="5447619"/>
        </a:xfrm>
        <a:prstGeom prst="rect">
          <a:avLst/>
        </a:prstGeom>
      </xdr:spPr>
    </xdr:pic>
    <xdr:clientData/>
  </xdr:twoCellAnchor>
  <xdr:twoCellAnchor editAs="oneCell">
    <xdr:from>
      <xdr:col>15</xdr:col>
      <xdr:colOff>590550</xdr:colOff>
      <xdr:row>35</xdr:row>
      <xdr:rowOff>23813</xdr:rowOff>
    </xdr:from>
    <xdr:to>
      <xdr:col>18</xdr:col>
      <xdr:colOff>276035</xdr:colOff>
      <xdr:row>38</xdr:row>
      <xdr:rowOff>50841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853738" y="6691313"/>
          <a:ext cx="1542860" cy="657143"/>
        </a:xfrm>
        <a:prstGeom prst="rect">
          <a:avLst/>
        </a:prstGeom>
      </xdr:spPr>
    </xdr:pic>
    <xdr:clientData/>
  </xdr:twoCellAnchor>
  <xdr:twoCellAnchor editAs="oneCell">
    <xdr:from>
      <xdr:col>26</xdr:col>
      <xdr:colOff>233363</xdr:colOff>
      <xdr:row>38</xdr:row>
      <xdr:rowOff>14288</xdr:rowOff>
    </xdr:from>
    <xdr:to>
      <xdr:col>29</xdr:col>
      <xdr:colOff>166468</xdr:colOff>
      <xdr:row>44</xdr:row>
      <xdr:rowOff>163581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306926" y="7253288"/>
          <a:ext cx="1790480" cy="1409524"/>
        </a:xfrm>
        <a:prstGeom prst="rect">
          <a:avLst/>
        </a:prstGeom>
      </xdr:spPr>
    </xdr:pic>
    <xdr:clientData/>
  </xdr:twoCellAnchor>
  <xdr:twoCellAnchor editAs="oneCell">
    <xdr:from>
      <xdr:col>21</xdr:col>
      <xdr:colOff>451666</xdr:colOff>
      <xdr:row>2</xdr:row>
      <xdr:rowOff>59521</xdr:rowOff>
    </xdr:from>
    <xdr:to>
      <xdr:col>24</xdr:col>
      <xdr:colOff>432616</xdr:colOff>
      <xdr:row>6</xdr:row>
      <xdr:rowOff>43639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17739"/>
        <a:stretch/>
      </xdr:blipFill>
      <xdr:spPr>
        <a:xfrm>
          <a:off x="14167666" y="440521"/>
          <a:ext cx="1799359" cy="904762"/>
        </a:xfrm>
        <a:prstGeom prst="rect">
          <a:avLst/>
        </a:prstGeom>
      </xdr:spPr>
    </xdr:pic>
    <xdr:clientData/>
  </xdr:twoCellAnchor>
  <xdr:twoCellAnchor editAs="oneCell">
    <xdr:from>
      <xdr:col>21</xdr:col>
      <xdr:colOff>271462</xdr:colOff>
      <xdr:row>46</xdr:row>
      <xdr:rowOff>166687</xdr:rowOff>
    </xdr:from>
    <xdr:to>
      <xdr:col>34</xdr:col>
      <xdr:colOff>51423</xdr:colOff>
      <xdr:row>54</xdr:row>
      <xdr:rowOff>23639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249400" y="8929687"/>
          <a:ext cx="7828586" cy="1380952"/>
        </a:xfrm>
        <a:prstGeom prst="rect">
          <a:avLst/>
        </a:prstGeom>
      </xdr:spPr>
    </xdr:pic>
    <xdr:clientData/>
  </xdr:twoCellAnchor>
  <xdr:twoCellAnchor editAs="oneCell">
    <xdr:from>
      <xdr:col>21</xdr:col>
      <xdr:colOff>166687</xdr:colOff>
      <xdr:row>54</xdr:row>
      <xdr:rowOff>114300</xdr:rowOff>
    </xdr:from>
    <xdr:to>
      <xdr:col>34</xdr:col>
      <xdr:colOff>3790</xdr:colOff>
      <xdr:row>58</xdr:row>
      <xdr:rowOff>142776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144625" y="10401300"/>
          <a:ext cx="7885728" cy="790476"/>
        </a:xfrm>
        <a:prstGeom prst="rect">
          <a:avLst/>
        </a:prstGeom>
      </xdr:spPr>
    </xdr:pic>
    <xdr:clientData/>
  </xdr:twoCellAnchor>
  <xdr:twoCellAnchor editAs="oneCell">
    <xdr:from>
      <xdr:col>16</xdr:col>
      <xdr:colOff>509587</xdr:colOff>
      <xdr:row>65</xdr:row>
      <xdr:rowOff>147638</xdr:rowOff>
    </xdr:from>
    <xdr:to>
      <xdr:col>19</xdr:col>
      <xdr:colOff>490311</xdr:colOff>
      <xdr:row>70</xdr:row>
      <xdr:rowOff>52281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91900" y="12530138"/>
          <a:ext cx="1838099" cy="8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8283</xdr:colOff>
      <xdr:row>2</xdr:row>
      <xdr:rowOff>107674</xdr:rowOff>
    </xdr:from>
    <xdr:to>
      <xdr:col>3</xdr:col>
      <xdr:colOff>16900</xdr:colOff>
      <xdr:row>3</xdr:row>
      <xdr:rowOff>193364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219740" y="488674"/>
          <a:ext cx="638095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1557131</xdr:colOff>
      <xdr:row>12</xdr:row>
      <xdr:rowOff>190501</xdr:rowOff>
    </xdr:from>
    <xdr:to>
      <xdr:col>3</xdr:col>
      <xdr:colOff>62442</xdr:colOff>
      <xdr:row>13</xdr:row>
      <xdr:rowOff>248026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3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170044" y="3081131"/>
          <a:ext cx="733333" cy="314286"/>
        </a:xfrm>
        <a:prstGeom prst="rect">
          <a:avLst/>
        </a:prstGeom>
      </xdr:spPr>
    </xdr:pic>
    <xdr:clientData/>
  </xdr:twoCellAnchor>
  <xdr:twoCellAnchor editAs="oneCell">
    <xdr:from>
      <xdr:col>3</xdr:col>
      <xdr:colOff>182066</xdr:colOff>
      <xdr:row>0</xdr:row>
      <xdr:rowOff>0</xdr:rowOff>
    </xdr:from>
    <xdr:to>
      <xdr:col>9</xdr:col>
      <xdr:colOff>112440</xdr:colOff>
      <xdr:row>1</xdr:row>
      <xdr:rowOff>123786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023001" y="0"/>
          <a:ext cx="3723809" cy="314286"/>
        </a:xfrm>
        <a:prstGeom prst="rect">
          <a:avLst/>
        </a:prstGeom>
      </xdr:spPr>
    </xdr:pic>
    <xdr:clientData/>
  </xdr:twoCellAnchor>
  <xdr:twoCellAnchor editAs="oneCell">
    <xdr:from>
      <xdr:col>4</xdr:col>
      <xdr:colOff>687303</xdr:colOff>
      <xdr:row>1</xdr:row>
      <xdr:rowOff>91109</xdr:rowOff>
    </xdr:from>
    <xdr:to>
      <xdr:col>7</xdr:col>
      <xdr:colOff>376480</xdr:colOff>
      <xdr:row>3</xdr:row>
      <xdr:rowOff>81538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975499" y="281609"/>
          <a:ext cx="1809524" cy="371429"/>
        </a:xfrm>
        <a:prstGeom prst="rect">
          <a:avLst/>
        </a:prstGeom>
      </xdr:spPr>
    </xdr:pic>
    <xdr:clientData/>
  </xdr:twoCellAnchor>
  <xdr:twoCellAnchor editAs="oneCell">
    <xdr:from>
      <xdr:col>5</xdr:col>
      <xdr:colOff>48919</xdr:colOff>
      <xdr:row>14</xdr:row>
      <xdr:rowOff>190500</xdr:rowOff>
    </xdr:from>
    <xdr:to>
      <xdr:col>7</xdr:col>
      <xdr:colOff>307411</xdr:colOff>
      <xdr:row>15</xdr:row>
      <xdr:rowOff>122544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231636" y="3594652"/>
          <a:ext cx="1484318" cy="197088"/>
        </a:xfrm>
        <a:prstGeom prst="rect">
          <a:avLst/>
        </a:prstGeom>
      </xdr:spPr>
    </xdr:pic>
    <xdr:clientData/>
  </xdr:twoCellAnchor>
  <xdr:twoCellAnchor editAs="oneCell">
    <xdr:from>
      <xdr:col>4</xdr:col>
      <xdr:colOff>521806</xdr:colOff>
      <xdr:row>16</xdr:row>
      <xdr:rowOff>174143</xdr:rowOff>
    </xdr:from>
    <xdr:to>
      <xdr:col>8</xdr:col>
      <xdr:colOff>339587</xdr:colOff>
      <xdr:row>17</xdr:row>
      <xdr:rowOff>142833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3810002" y="4108382"/>
          <a:ext cx="2551042" cy="233734"/>
        </a:xfrm>
        <a:prstGeom prst="rect">
          <a:avLst/>
        </a:prstGeom>
      </xdr:spPr>
    </xdr:pic>
    <xdr:clientData/>
  </xdr:twoCellAnchor>
  <xdr:twoCellAnchor editAs="oneCell">
    <xdr:from>
      <xdr:col>8</xdr:col>
      <xdr:colOff>521803</xdr:colOff>
      <xdr:row>29</xdr:row>
      <xdr:rowOff>74543</xdr:rowOff>
    </xdr:from>
    <xdr:to>
      <xdr:col>24</xdr:col>
      <xdr:colOff>143766</xdr:colOff>
      <xdr:row>45</xdr:row>
      <xdr:rowOff>89867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43260" y="6626086"/>
          <a:ext cx="9428571" cy="3295238"/>
        </a:xfrm>
        <a:prstGeom prst="rect">
          <a:avLst/>
        </a:prstGeom>
      </xdr:spPr>
    </xdr:pic>
    <xdr:clientData/>
  </xdr:twoCellAnchor>
  <xdr:twoCellAnchor editAs="oneCell">
    <xdr:from>
      <xdr:col>4</xdr:col>
      <xdr:colOff>486762</xdr:colOff>
      <xdr:row>3</xdr:row>
      <xdr:rowOff>8281</xdr:rowOff>
    </xdr:from>
    <xdr:to>
      <xdr:col>8</xdr:col>
      <xdr:colOff>91108</xdr:colOff>
      <xdr:row>14</xdr:row>
      <xdr:rowOff>174214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774958" y="579781"/>
          <a:ext cx="2337607" cy="2998585"/>
        </a:xfrm>
        <a:prstGeom prst="rect">
          <a:avLst/>
        </a:prstGeom>
      </xdr:spPr>
    </xdr:pic>
    <xdr:clientData/>
  </xdr:twoCellAnchor>
  <xdr:twoCellAnchor editAs="oneCell">
    <xdr:from>
      <xdr:col>4</xdr:col>
      <xdr:colOff>860406</xdr:colOff>
      <xdr:row>15</xdr:row>
      <xdr:rowOff>173934</xdr:rowOff>
    </xdr:from>
    <xdr:to>
      <xdr:col>7</xdr:col>
      <xdr:colOff>429979</xdr:colOff>
      <xdr:row>16</xdr:row>
      <xdr:rowOff>115956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48602" y="3843130"/>
          <a:ext cx="1689920" cy="207065"/>
        </a:xfrm>
        <a:prstGeom prst="rect">
          <a:avLst/>
        </a:prstGeom>
      </xdr:spPr>
    </xdr:pic>
    <xdr:clientData/>
  </xdr:twoCellAnchor>
  <xdr:twoCellAnchor editAs="oneCell">
    <xdr:from>
      <xdr:col>8</xdr:col>
      <xdr:colOff>571498</xdr:colOff>
      <xdr:row>2</xdr:row>
      <xdr:rowOff>61501</xdr:rowOff>
    </xdr:from>
    <xdr:to>
      <xdr:col>14</xdr:col>
      <xdr:colOff>250841</xdr:colOff>
      <xdr:row>13</xdr:row>
      <xdr:rowOff>180929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592955" y="442501"/>
          <a:ext cx="3356821" cy="2885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M51"/>
  <sheetViews>
    <sheetView showGridLines="0" tabSelected="1" zoomScale="115" zoomScaleNormal="115" workbookViewId="0">
      <selection activeCell="C8" sqref="C8"/>
    </sheetView>
  </sheetViews>
  <sheetFormatPr defaultRowHeight="15" x14ac:dyDescent="0.25"/>
  <cols>
    <col min="1" max="1" width="9.140625" style="1"/>
    <col min="2" max="2" width="24" style="1" bestFit="1" customWidth="1"/>
    <col min="3" max="3" width="9.42578125" style="1" bestFit="1" customWidth="1"/>
    <col min="4" max="4" width="6.7109375" style="1" bestFit="1" customWidth="1"/>
    <col min="5" max="5" width="13.42578125" style="2" bestFit="1" customWidth="1"/>
    <col min="6" max="16384" width="9.140625" style="1"/>
  </cols>
  <sheetData>
    <row r="4" spans="1:13" ht="15.75" thickBot="1" x14ac:dyDescent="0.3"/>
    <row r="5" spans="1:13" ht="21" thickTop="1" thickBot="1" x14ac:dyDescent="0.6">
      <c r="B5" s="22" t="s">
        <v>31</v>
      </c>
      <c r="C5" s="20">
        <v>15</v>
      </c>
      <c r="D5" s="4" t="s">
        <v>29</v>
      </c>
      <c r="J5" s="5">
        <v>20</v>
      </c>
      <c r="K5" s="5">
        <v>8.8000000000000007</v>
      </c>
      <c r="L5" s="5">
        <v>8000</v>
      </c>
      <c r="M5" s="4" t="s">
        <v>35</v>
      </c>
    </row>
    <row r="6" spans="1:13" ht="21" thickTop="1" thickBot="1" x14ac:dyDescent="0.6">
      <c r="B6" s="22" t="s">
        <v>32</v>
      </c>
      <c r="C6" s="20">
        <v>0.8</v>
      </c>
      <c r="D6" s="4" t="s">
        <v>29</v>
      </c>
      <c r="J6" s="5">
        <v>24</v>
      </c>
      <c r="K6" s="5">
        <v>10.9</v>
      </c>
      <c r="L6" s="5">
        <v>10000</v>
      </c>
      <c r="M6" s="4" t="s">
        <v>36</v>
      </c>
    </row>
    <row r="7" spans="1:13" ht="21" thickTop="1" thickBot="1" x14ac:dyDescent="0.6">
      <c r="B7" s="22" t="s">
        <v>33</v>
      </c>
      <c r="C7" s="20">
        <v>65</v>
      </c>
      <c r="D7" s="4" t="s">
        <v>29</v>
      </c>
      <c r="J7" s="5">
        <v>27</v>
      </c>
      <c r="K7" s="5"/>
      <c r="L7" s="5"/>
    </row>
    <row r="8" spans="1:13" ht="21" thickTop="1" thickBot="1" x14ac:dyDescent="0.6">
      <c r="B8" s="22" t="s">
        <v>34</v>
      </c>
      <c r="C8" s="20">
        <v>0.6</v>
      </c>
      <c r="D8" s="4" t="s">
        <v>29</v>
      </c>
      <c r="J8" s="5">
        <v>30</v>
      </c>
      <c r="K8" s="5"/>
      <c r="L8" s="5"/>
    </row>
    <row r="9" spans="1:13" ht="21" thickTop="1" thickBot="1" x14ac:dyDescent="0.6">
      <c r="B9" s="3" t="s">
        <v>0</v>
      </c>
      <c r="C9" s="20">
        <v>20</v>
      </c>
      <c r="D9" s="4" t="s">
        <v>29</v>
      </c>
      <c r="J9" s="5"/>
      <c r="K9" s="5"/>
      <c r="L9" s="5">
        <v>3</v>
      </c>
    </row>
    <row r="10" spans="1:13" ht="21" thickTop="1" thickBot="1" x14ac:dyDescent="0.6">
      <c r="A10" s="24" t="s">
        <v>37</v>
      </c>
      <c r="B10" s="3" t="s">
        <v>28</v>
      </c>
      <c r="C10" s="20">
        <v>3</v>
      </c>
      <c r="J10" s="5"/>
      <c r="K10" s="5"/>
      <c r="L10" s="5">
        <v>4</v>
      </c>
    </row>
    <row r="11" spans="1:13" ht="21" thickTop="1" thickBot="1" x14ac:dyDescent="0.6">
      <c r="A11" s="25">
        <f>1/(C11/C37/10)</f>
        <v>0.99602661261540004</v>
      </c>
      <c r="B11" s="3" t="s">
        <v>1</v>
      </c>
      <c r="C11" s="20">
        <v>20</v>
      </c>
      <c r="D11" s="4" t="s">
        <v>30</v>
      </c>
      <c r="E11" s="21" t="str">
        <f>IF(C11&gt;=10*C37,"مناسب","نامناسب")</f>
        <v>مناسب</v>
      </c>
      <c r="J11" s="5"/>
      <c r="K11" s="5"/>
      <c r="L11" s="5">
        <v>5</v>
      </c>
    </row>
    <row r="12" spans="1:13" ht="21" thickTop="1" thickBot="1" x14ac:dyDescent="0.6">
      <c r="B12" s="3" t="s">
        <v>2</v>
      </c>
      <c r="C12" s="20">
        <v>8.8000000000000007</v>
      </c>
      <c r="D12" s="6">
        <f>LOOKUP(C12,K5:K6,L5:L6)</f>
        <v>8000</v>
      </c>
      <c r="E12" s="23" t="str">
        <f>LOOKUP(D12,L5:L6,M5:M6)</f>
        <v>A325</v>
      </c>
    </row>
    <row r="13" spans="1:13" ht="20.25" thickTop="1" x14ac:dyDescent="0.55000000000000004">
      <c r="B13" s="7" t="s">
        <v>3</v>
      </c>
      <c r="C13" s="8"/>
    </row>
    <row r="14" spans="1:13" ht="20.25" thickBot="1" x14ac:dyDescent="0.6">
      <c r="B14" s="9"/>
      <c r="C14" s="8"/>
    </row>
    <row r="15" spans="1:13" ht="21" thickTop="1" thickBot="1" x14ac:dyDescent="0.6">
      <c r="B15" s="10" t="s">
        <v>17</v>
      </c>
      <c r="C15" s="11">
        <f>((1.11*C34)/(0.9*2400*C32))^0.5</f>
        <v>1.4536969239302744</v>
      </c>
      <c r="D15" s="12" t="s">
        <v>29</v>
      </c>
      <c r="E15" s="13"/>
      <c r="F15" s="14"/>
    </row>
    <row r="16" spans="1:13" ht="21" thickTop="1" thickBot="1" x14ac:dyDescent="0.6">
      <c r="B16" s="10" t="s">
        <v>19</v>
      </c>
      <c r="C16" s="11">
        <f>(C39-C40)/(0.9*2400*C5)</f>
        <v>1.4557599265932597</v>
      </c>
      <c r="D16" s="12" t="s">
        <v>29</v>
      </c>
      <c r="E16" s="13"/>
      <c r="F16" s="14"/>
    </row>
    <row r="17" spans="1:7" ht="21" thickTop="1" thickBot="1" x14ac:dyDescent="0.6">
      <c r="B17" s="10" t="s">
        <v>20</v>
      </c>
      <c r="C17" s="11">
        <f>C42/(0.9*2400*C5)</f>
        <v>0.55260715689758577</v>
      </c>
      <c r="D17" s="12" t="s">
        <v>29</v>
      </c>
      <c r="E17" s="13"/>
      <c r="F17" s="14"/>
    </row>
    <row r="18" spans="1:7" ht="15.75" thickTop="1" x14ac:dyDescent="0.25">
      <c r="B18" s="14"/>
      <c r="C18" s="14"/>
      <c r="D18" s="14"/>
      <c r="E18" s="13"/>
      <c r="F18" s="14"/>
    </row>
    <row r="19" spans="1:7" x14ac:dyDescent="0.25">
      <c r="B19" s="14"/>
      <c r="C19" s="14"/>
      <c r="D19" s="14"/>
      <c r="E19" s="13"/>
      <c r="F19" s="14"/>
      <c r="G19" s="27" t="s">
        <v>38</v>
      </c>
    </row>
    <row r="20" spans="1:7" x14ac:dyDescent="0.25">
      <c r="B20" s="14"/>
      <c r="C20" s="14"/>
      <c r="D20" s="14"/>
      <c r="E20" s="13"/>
      <c r="F20" s="14"/>
    </row>
    <row r="21" spans="1:7" x14ac:dyDescent="0.25">
      <c r="B21" s="15" t="s">
        <v>12</v>
      </c>
      <c r="C21" s="16">
        <f>0.5*C9*(C26/C24+C27/C23)+(2/C28)*(C26*(C24+0.25*C22)+C27*(C23+0.5*C22))+C28</f>
        <v>423.18470401317239</v>
      </c>
      <c r="D21" s="14"/>
      <c r="E21" s="13"/>
      <c r="F21" s="14"/>
    </row>
    <row r="22" spans="1:7" x14ac:dyDescent="0.25">
      <c r="B22" s="15" t="s">
        <v>4</v>
      </c>
      <c r="C22" s="17">
        <f>0.7*C11</f>
        <v>14</v>
      </c>
      <c r="D22" s="14"/>
      <c r="E22" s="13"/>
      <c r="F22" s="14"/>
    </row>
    <row r="23" spans="1:7" x14ac:dyDescent="0.25">
      <c r="B23" s="15" t="s">
        <v>5</v>
      </c>
      <c r="C23" s="16">
        <f>0.5*(0.5*C9^2)^0.5</f>
        <v>7.0710678118654755</v>
      </c>
      <c r="D23" s="14"/>
      <c r="E23" s="13"/>
      <c r="F23" s="14"/>
    </row>
    <row r="24" spans="1:7" x14ac:dyDescent="0.25">
      <c r="B24" s="15" t="s">
        <v>6</v>
      </c>
      <c r="C24" s="17">
        <f>0.3*C11</f>
        <v>6</v>
      </c>
      <c r="D24" s="14"/>
      <c r="E24" s="13"/>
      <c r="F24" s="14"/>
    </row>
    <row r="25" spans="1:7" x14ac:dyDescent="0.25">
      <c r="B25" s="15" t="s">
        <v>7</v>
      </c>
      <c r="C25" s="17">
        <f>0.3*C11+C29</f>
        <v>72.599999999999994</v>
      </c>
      <c r="D25" s="14"/>
      <c r="E25" s="13"/>
      <c r="F25" s="14"/>
    </row>
    <row r="26" spans="1:7" x14ac:dyDescent="0.25">
      <c r="B26" s="15" t="s">
        <v>39</v>
      </c>
      <c r="C26" s="17">
        <f>C29-C24</f>
        <v>60.599999999999994</v>
      </c>
      <c r="D26" s="18">
        <f>C26/C25</f>
        <v>0.83471074380165289</v>
      </c>
      <c r="E26" s="13"/>
      <c r="F26" s="14"/>
    </row>
    <row r="27" spans="1:7" x14ac:dyDescent="0.25">
      <c r="B27" s="15" t="s">
        <v>10</v>
      </c>
      <c r="C27" s="17">
        <f>C29-C24-C22</f>
        <v>46.599999999999994</v>
      </c>
      <c r="D27" s="18">
        <f>C27/C25</f>
        <v>0.64187327823691454</v>
      </c>
      <c r="E27" s="13"/>
      <c r="F27" s="14"/>
    </row>
    <row r="28" spans="1:7" x14ac:dyDescent="0.25">
      <c r="B28" s="15" t="s">
        <v>11</v>
      </c>
      <c r="C28" s="17">
        <f>C9*0.5</f>
        <v>10</v>
      </c>
      <c r="D28" s="14"/>
      <c r="E28" s="13"/>
      <c r="F28" s="14"/>
    </row>
    <row r="29" spans="1:7" ht="19.5" x14ac:dyDescent="0.55000000000000004">
      <c r="B29" s="19" t="s">
        <v>8</v>
      </c>
      <c r="C29" s="17">
        <f>C7+2*C6</f>
        <v>66.599999999999994</v>
      </c>
      <c r="D29" s="14"/>
      <c r="E29" s="13"/>
      <c r="F29" s="14"/>
    </row>
    <row r="30" spans="1:7" x14ac:dyDescent="0.25">
      <c r="B30" s="14"/>
      <c r="C30" s="17"/>
      <c r="D30" s="14"/>
      <c r="E30" s="13"/>
      <c r="F30" s="14"/>
    </row>
    <row r="31" spans="1:7" x14ac:dyDescent="0.25">
      <c r="B31" s="15" t="s">
        <v>13</v>
      </c>
      <c r="C31" s="16">
        <f>0.5*C9*(C25*(1/C24+1/C23))+(2/C28)*(C25*(C23+C24))</f>
        <v>413.46380925657343</v>
      </c>
      <c r="D31" s="14"/>
      <c r="E31" s="13"/>
      <c r="F31" s="14"/>
    </row>
    <row r="32" spans="1:7" x14ac:dyDescent="0.25">
      <c r="A32" s="26">
        <f>C21+C31</f>
        <v>836.64851326974576</v>
      </c>
      <c r="B32" s="15" t="s">
        <v>14</v>
      </c>
      <c r="C32" s="16">
        <f>0.5*C9*(C26*(1/C24)+C27*(1/C23)+C25*(1/C23+1/C24))+(2/C28)*(C26*(C24+1.5*C22)+C27*(C23+0.5*C22)+C25*(C23+C24))+0.5*C28</f>
        <v>1043.7485132697459</v>
      </c>
      <c r="D32" s="14"/>
      <c r="E32" s="13"/>
      <c r="F32" s="14"/>
    </row>
    <row r="33" spans="2:6" x14ac:dyDescent="0.25">
      <c r="B33" s="14"/>
      <c r="C33" s="17"/>
      <c r="D33" s="14"/>
      <c r="E33" s="13"/>
      <c r="F33" s="14"/>
    </row>
    <row r="34" spans="2:6" ht="19.5" x14ac:dyDescent="0.55000000000000004">
      <c r="B34" s="19" t="s">
        <v>15</v>
      </c>
      <c r="C34" s="17">
        <f>1.1*1.15*2400*C48</f>
        <v>4292144.9999999991</v>
      </c>
      <c r="D34" s="14"/>
      <c r="E34" s="13"/>
      <c r="F34" s="14"/>
    </row>
    <row r="35" spans="2:6" x14ac:dyDescent="0.25">
      <c r="B35" s="14"/>
      <c r="C35" s="17"/>
      <c r="D35" s="14"/>
      <c r="E35" s="13"/>
      <c r="F35" s="14"/>
    </row>
    <row r="36" spans="2:6" x14ac:dyDescent="0.25">
      <c r="B36" s="14"/>
      <c r="C36" s="17"/>
      <c r="D36" s="14"/>
      <c r="E36" s="13"/>
      <c r="F36" s="14"/>
    </row>
    <row r="37" spans="2:6" ht="19.5" x14ac:dyDescent="0.55000000000000004">
      <c r="B37" s="19" t="s">
        <v>18</v>
      </c>
      <c r="C37" s="16">
        <f>(2*C34/(3.14*0.75*0.75*D12*(C25+C26^2/C25+C27^2/C25+C50^2/C25+C51^2/C25)))^0.5</f>
        <v>1.9920532252307999</v>
      </c>
      <c r="D37" s="14"/>
      <c r="E37" s="13"/>
      <c r="F37" s="14"/>
    </row>
    <row r="38" spans="2:6" x14ac:dyDescent="0.25">
      <c r="B38" s="14"/>
      <c r="C38" s="17"/>
      <c r="D38" s="14"/>
      <c r="E38" s="13"/>
      <c r="F38" s="14"/>
    </row>
    <row r="39" spans="2:6" x14ac:dyDescent="0.25">
      <c r="B39" s="17" t="s">
        <v>25</v>
      </c>
      <c r="C39" s="16">
        <f>C34/C29</f>
        <v>64446.621621621613</v>
      </c>
      <c r="D39" s="12" t="s">
        <v>22</v>
      </c>
      <c r="E39" s="13"/>
      <c r="F39" s="14"/>
    </row>
    <row r="40" spans="2:6" ht="19.5" x14ac:dyDescent="0.55000000000000004">
      <c r="B40" s="19" t="s">
        <v>21</v>
      </c>
      <c r="C40" s="16">
        <f>0.75*0.8*C8^2*(2000000*2400*C6/C8)^0.5</f>
        <v>17280.000000000004</v>
      </c>
      <c r="D40" s="12" t="s">
        <v>22</v>
      </c>
      <c r="E40" s="13"/>
      <c r="F40" s="14"/>
    </row>
    <row r="41" spans="2:6" ht="19.5" x14ac:dyDescent="0.55000000000000004">
      <c r="B41" s="19" t="s">
        <v>23</v>
      </c>
      <c r="C41" s="16">
        <f>0.9*0.6*2400*C29*C8</f>
        <v>51788.159999999996</v>
      </c>
      <c r="D41" s="12" t="s">
        <v>22</v>
      </c>
      <c r="E41" s="13"/>
      <c r="F41" s="14"/>
    </row>
    <row r="42" spans="2:6" x14ac:dyDescent="0.25">
      <c r="B42" s="15" t="s">
        <v>24</v>
      </c>
      <c r="C42" s="16">
        <f>(C39-C41)/0.707</f>
        <v>17904.47188348178</v>
      </c>
      <c r="D42" s="12" t="s">
        <v>22</v>
      </c>
      <c r="E42" s="13"/>
      <c r="F42" s="14"/>
    </row>
    <row r="43" spans="2:6" x14ac:dyDescent="0.25">
      <c r="B43" s="15"/>
      <c r="C43" s="17"/>
      <c r="D43" s="14"/>
      <c r="E43" s="13"/>
      <c r="F43" s="14"/>
    </row>
    <row r="44" spans="2:6" x14ac:dyDescent="0.25">
      <c r="B44" s="15"/>
      <c r="C44" s="17"/>
      <c r="D44" s="14"/>
      <c r="E44" s="13"/>
      <c r="F44" s="14"/>
    </row>
    <row r="45" spans="2:6" x14ac:dyDescent="0.25">
      <c r="B45" s="15"/>
      <c r="C45" s="17"/>
      <c r="D45" s="14"/>
      <c r="E45" s="13"/>
      <c r="F45" s="14"/>
    </row>
    <row r="46" spans="2:6" x14ac:dyDescent="0.25">
      <c r="B46" s="15" t="s">
        <v>26</v>
      </c>
      <c r="C46" s="16">
        <f>((0.5^2*C7*0.5*C7*C8)+((0.5*C7)*(C5*C6)))/(0.5*C47)</f>
        <v>22.44047619047619</v>
      </c>
      <c r="D46" s="14"/>
      <c r="E46" s="13"/>
      <c r="F46" s="14"/>
    </row>
    <row r="47" spans="2:6" x14ac:dyDescent="0.25">
      <c r="B47" s="15" t="s">
        <v>27</v>
      </c>
      <c r="C47" s="16">
        <f>2*C5*C6+C7*C8</f>
        <v>63</v>
      </c>
      <c r="D47" s="14"/>
      <c r="E47" s="13"/>
      <c r="F47" s="14"/>
    </row>
    <row r="48" spans="2:6" x14ac:dyDescent="0.25">
      <c r="B48" s="15" t="s">
        <v>16</v>
      </c>
      <c r="C48" s="17">
        <f>C46*C47</f>
        <v>1413.75</v>
      </c>
      <c r="D48" s="14"/>
      <c r="E48" s="13"/>
      <c r="F48" s="14"/>
    </row>
    <row r="49" spans="1:6" x14ac:dyDescent="0.25">
      <c r="B49" s="14"/>
      <c r="C49" s="14"/>
      <c r="D49" s="14"/>
      <c r="E49" s="13"/>
      <c r="F49" s="14"/>
    </row>
    <row r="50" spans="1:6" x14ac:dyDescent="0.25">
      <c r="A50" s="1">
        <f>C27-12</f>
        <v>34.599999999999994</v>
      </c>
      <c r="B50" s="15" t="s">
        <v>10</v>
      </c>
      <c r="C50" s="17">
        <f>IF(C10&lt;4,0,A50)</f>
        <v>0</v>
      </c>
      <c r="D50" s="18">
        <f>C50/C25</f>
        <v>0</v>
      </c>
      <c r="E50" s="13">
        <f>C50*D50</f>
        <v>0</v>
      </c>
      <c r="F50" s="14">
        <f>IF(C10&lt;=3,0,E50)</f>
        <v>0</v>
      </c>
    </row>
    <row r="51" spans="1:6" x14ac:dyDescent="0.25">
      <c r="A51" s="1">
        <f>A50-12</f>
        <v>22.599999999999994</v>
      </c>
      <c r="B51" s="15" t="s">
        <v>9</v>
      </c>
      <c r="C51" s="17">
        <f>IF(C10&lt;5,0,A51)</f>
        <v>0</v>
      </c>
      <c r="D51" s="18">
        <f>C51/C26</f>
        <v>0</v>
      </c>
      <c r="E51" s="13">
        <f>C51*D51</f>
        <v>0</v>
      </c>
      <c r="F51" s="14">
        <f>IF(C10&lt;=4,0,E51)</f>
        <v>0</v>
      </c>
    </row>
  </sheetData>
  <sheetProtection algorithmName="SHA-512" hashValue="aN+rXcgPoGCdHWd3+IyH4cPgS32OKAizoUhSB/wp0Yss6XGZl17InVUhyiJPRzO4FJH5TYYOTDecgO8rAjP1pA==" saltValue="QK+tFiYpXvS6BFL6ebwKqQ==" spinCount="100000" sheet="1" objects="1" scenarios="1" selectLockedCells="1"/>
  <dataValidations count="3">
    <dataValidation type="list" allowBlank="1" showInputMessage="1" showErrorMessage="1" sqref="C12">
      <formula1>$K$5:$K$6</formula1>
    </dataValidation>
    <dataValidation type="list" allowBlank="1" showInputMessage="1" showErrorMessage="1" sqref="C10">
      <formula1>$L$9:$L$11</formula1>
    </dataValidation>
    <dataValidation type="list" allowBlank="1" showInputMessage="1" showErrorMessage="1" sqref="C11">
      <formula1>$J$5:$J$8</formula1>
    </dataValidation>
  </dataValidations>
  <pageMargins left="0.7" right="0.7" top="0.75" bottom="0.75" header="0.3" footer="0.3"/>
  <pageSetup paperSize="11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</dc:creator>
  <cp:lastModifiedBy>N.S</cp:lastModifiedBy>
  <dcterms:created xsi:type="dcterms:W3CDTF">2018-08-20T22:13:54Z</dcterms:created>
  <dcterms:modified xsi:type="dcterms:W3CDTF">2019-04-04T06:57:48Z</dcterms:modified>
</cp:coreProperties>
</file>