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05" windowWidth="13395" windowHeight="5130" firstSheet="3" activeTab="3"/>
  </bookViews>
  <sheets>
    <sheet name="نیروی محوری و برش ستون میانی" sheetId="1" r:id="rId1"/>
    <sheet name="نیروی محوری و برش  ستون کناری" sheetId="2" r:id="rId2"/>
    <sheet name="نیروی محوری و برش  ستون گوشه" sheetId="14" r:id="rId3"/>
    <sheet name="کرومیت" sheetId="10" r:id="rId4"/>
  </sheets>
  <definedNames>
    <definedName name="G">#REF!</definedName>
    <definedName name="I">#REF!</definedName>
    <definedName name="IPE">#REF!</definedName>
    <definedName name="p">#REF!</definedName>
    <definedName name="Z">#REF!</definedName>
    <definedName name="چهارده">#REF!</definedName>
  </definedNames>
  <calcPr calcId="144525"/>
</workbook>
</file>

<file path=xl/calcChain.xml><?xml version="1.0" encoding="utf-8"?>
<calcChain xmlns="http://schemas.openxmlformats.org/spreadsheetml/2006/main">
  <c r="E24" i="10" l="1"/>
  <c r="E26" i="10"/>
  <c r="E37" i="10"/>
  <c r="E38" i="10" s="1"/>
  <c r="F38" i="10" s="1"/>
  <c r="F45" i="10" l="1"/>
  <c r="E32" i="10" l="1"/>
  <c r="E31" i="10"/>
  <c r="E10" i="10"/>
  <c r="E23" i="10" s="1"/>
  <c r="E22" i="10"/>
  <c r="E17" i="10"/>
  <c r="E19" i="10" l="1"/>
  <c r="E27" i="10" s="1"/>
  <c r="F27" i="10" s="1"/>
  <c r="E34" i="10"/>
  <c r="E39" i="10"/>
  <c r="E21" i="10"/>
  <c r="F26" i="10" s="1"/>
  <c r="E33" i="10"/>
  <c r="E35" i="10" l="1"/>
  <c r="E41" i="10" s="1"/>
  <c r="F39" i="10"/>
  <c r="F46" i="10"/>
  <c r="E42" i="10" l="1"/>
  <c r="E43" i="10" s="1"/>
  <c r="E44" i="10" s="1"/>
  <c r="E48" i="10" l="1"/>
  <c r="F48" i="10" s="1"/>
  <c r="E46" i="10"/>
  <c r="E45" i="10"/>
  <c r="C52" i="14" l="1"/>
  <c r="C50" i="14"/>
  <c r="C54" i="14" s="1"/>
  <c r="C47" i="14"/>
  <c r="C41" i="14"/>
  <c r="C43" i="14" s="1"/>
  <c r="C44" i="14" s="1"/>
  <c r="C31" i="14"/>
  <c r="C33" i="14" s="1"/>
  <c r="C34" i="14" s="1"/>
  <c r="C21" i="14"/>
  <c r="C19" i="14"/>
  <c r="C18" i="14"/>
  <c r="C17" i="14"/>
  <c r="C16" i="14"/>
  <c r="C24" i="14" s="1"/>
  <c r="C8" i="14"/>
  <c r="C9" i="14" s="1"/>
  <c r="C22" i="14" l="1"/>
  <c r="C23" i="14"/>
  <c r="C51" i="14"/>
  <c r="C50" i="2"/>
  <c r="C47" i="1"/>
  <c r="C17" i="2"/>
  <c r="C16" i="2"/>
  <c r="C52" i="2"/>
  <c r="C54" i="2"/>
  <c r="C47" i="2"/>
  <c r="C41" i="2"/>
  <c r="C43" i="2"/>
  <c r="C44" i="2"/>
  <c r="C31" i="2"/>
  <c r="C33" i="2"/>
  <c r="C34" i="2"/>
  <c r="C21" i="2"/>
  <c r="D22" i="2" s="1"/>
  <c r="C19" i="2"/>
  <c r="C18" i="2"/>
  <c r="C8" i="2"/>
  <c r="C9" i="2"/>
  <c r="C24" i="2"/>
  <c r="C23" i="2"/>
  <c r="C22" i="2"/>
  <c r="C51" i="2"/>
  <c r="C49" i="1"/>
  <c r="C48" i="1"/>
  <c r="C50" i="1"/>
  <c r="C44" i="1"/>
  <c r="D48" i="1"/>
  <c r="C51" i="1"/>
  <c r="D51" i="1"/>
  <c r="C27" i="2"/>
  <c r="C35" i="2"/>
  <c r="D35" i="2"/>
  <c r="C37" i="2"/>
  <c r="C45" i="2"/>
  <c r="D45" i="2"/>
  <c r="C53" i="2"/>
  <c r="D54" i="2"/>
  <c r="D51" i="2"/>
  <c r="C38" i="1"/>
  <c r="C28" i="1"/>
  <c r="C40" i="1"/>
  <c r="C41" i="1"/>
  <c r="C21" i="1"/>
  <c r="C18" i="1"/>
  <c r="C17" i="1"/>
  <c r="C8" i="1"/>
  <c r="C20" i="1"/>
  <c r="D21" i="1" s="1"/>
  <c r="C30" i="1"/>
  <c r="C31" i="1"/>
  <c r="C24" i="1"/>
  <c r="C32" i="1"/>
  <c r="D32" i="1"/>
  <c r="C34" i="1"/>
  <c r="C42" i="1"/>
  <c r="D42" i="1"/>
  <c r="C9" i="1"/>
  <c r="C13" i="1" s="1"/>
  <c r="C14" i="1" s="1"/>
  <c r="C53" i="14" l="1"/>
  <c r="D54" i="14" s="1"/>
  <c r="D51" i="14"/>
  <c r="D22" i="14"/>
  <c r="C27" i="14"/>
  <c r="C35" i="14" s="1"/>
  <c r="D35" i="14" s="1"/>
  <c r="C37" i="14"/>
  <c r="C45" i="14" s="1"/>
  <c r="D45" i="14" s="1"/>
</calcChain>
</file>

<file path=xl/sharedStrings.xml><?xml version="1.0" encoding="utf-8"?>
<sst xmlns="http://schemas.openxmlformats.org/spreadsheetml/2006/main" count="330" uniqueCount="147">
  <si>
    <t>ارتفاع</t>
  </si>
  <si>
    <t>عرض بیس پلیت</t>
  </si>
  <si>
    <t>ضخامت بیس پلیت</t>
  </si>
  <si>
    <t>ارتفاع مرکز سطح</t>
  </si>
  <si>
    <t>ممان اینرسی مقطع</t>
  </si>
  <si>
    <t>تنش خمشی حول محور خنثی</t>
  </si>
  <si>
    <t xml:space="preserve">برش </t>
  </si>
  <si>
    <t>تعداد ورق سخت کننده</t>
  </si>
  <si>
    <t>مقاومت 28 روزه بتن پی</t>
  </si>
  <si>
    <t>تنش تسلیم فولاد</t>
  </si>
  <si>
    <t>نیروی محوری فشاری</t>
  </si>
  <si>
    <t>نیروی محوری کششی</t>
  </si>
  <si>
    <t>F_p=0.6×〖f'〗_c</t>
  </si>
  <si>
    <t>تنش اتکایی مجاز بتن پی</t>
  </si>
  <si>
    <t>مساحت ورق بیس پلیت</t>
  </si>
  <si>
    <t>BD</t>
  </si>
  <si>
    <t xml:space="preserve">b </t>
  </si>
  <si>
    <t>d</t>
  </si>
  <si>
    <t>بال ستون</t>
  </si>
  <si>
    <t>ارتفاع ستون</t>
  </si>
  <si>
    <t>D اجرایی</t>
  </si>
  <si>
    <t>B اجرایی</t>
  </si>
  <si>
    <t>D محاسبه</t>
  </si>
  <si>
    <t>B محاسبه</t>
  </si>
  <si>
    <t>m</t>
  </si>
  <si>
    <t>n</t>
  </si>
  <si>
    <t>مساحت پی هم مرکز با بیس پلیت</t>
  </si>
  <si>
    <t>P/BD</t>
  </si>
  <si>
    <t>تنش زیر کف ستون</t>
  </si>
  <si>
    <t xml:space="preserve"> لنگر در فاصله m</t>
  </si>
  <si>
    <t xml:space="preserve"> لنگر در فاصله n</t>
  </si>
  <si>
    <t>ضخامت سخت کننده</t>
  </si>
  <si>
    <t>I</t>
  </si>
  <si>
    <t>fb</t>
  </si>
  <si>
    <t>t</t>
  </si>
  <si>
    <t>مساحت میل مهار های کششی</t>
  </si>
  <si>
    <t>As</t>
  </si>
  <si>
    <t>N</t>
  </si>
  <si>
    <t>قطر میلگرد</t>
  </si>
  <si>
    <t>تنش گسیختگی آرماتور ها</t>
  </si>
  <si>
    <t>Fu</t>
  </si>
  <si>
    <t>Fy</t>
  </si>
  <si>
    <t>fc</t>
  </si>
  <si>
    <t>تنش برشی</t>
  </si>
  <si>
    <t>fv</t>
  </si>
  <si>
    <t xml:space="preserve">مساحت </t>
  </si>
  <si>
    <t>تنش برشی مجاز</t>
  </si>
  <si>
    <t>Fv</t>
  </si>
  <si>
    <t>Ft</t>
  </si>
  <si>
    <t>تنش کششی مجاز توام با برش</t>
  </si>
  <si>
    <t xml:space="preserve">تنش کششی  </t>
  </si>
  <si>
    <t>ft</t>
  </si>
  <si>
    <t>فاصله مرکز ستون تا لبه بیس پلیت</t>
  </si>
  <si>
    <t>خروج از مرکزیت</t>
  </si>
  <si>
    <t>e</t>
  </si>
  <si>
    <t>کنترل خروج از مرکزیت</t>
  </si>
  <si>
    <t>D/6</t>
  </si>
  <si>
    <t>تنش بیشینه زیر کف ستون</t>
  </si>
  <si>
    <t>fp max</t>
  </si>
  <si>
    <t>fp min</t>
  </si>
  <si>
    <t>fp n</t>
  </si>
  <si>
    <t>تنش کمینه زیر کف ستون</t>
  </si>
  <si>
    <t>تنش در مقطع n</t>
  </si>
  <si>
    <t xml:space="preserve">تعداد </t>
  </si>
  <si>
    <t>مساحت مورد نیاز برای میل مهار های کششی</t>
  </si>
  <si>
    <t>مقاومت 28 روزه بتن</t>
  </si>
  <si>
    <t>kg/cm2</t>
  </si>
  <si>
    <t>cm</t>
  </si>
  <si>
    <t>مشخصات مصالح</t>
  </si>
  <si>
    <t xml:space="preserve">فاصله محور تا محور تیرچه ها </t>
  </si>
  <si>
    <t>ابعاد</t>
  </si>
  <si>
    <t>بارگزاری</t>
  </si>
  <si>
    <t>کل بار مرده سقف پس از گیرش بتن</t>
  </si>
  <si>
    <t>kg/m2</t>
  </si>
  <si>
    <t>محاسبه بارهای وارده</t>
  </si>
  <si>
    <t>kg.m</t>
  </si>
  <si>
    <t>cm2</t>
  </si>
  <si>
    <t>cm4</t>
  </si>
  <si>
    <t>be</t>
  </si>
  <si>
    <t>ضخامت دال بتنی</t>
  </si>
  <si>
    <t>w1</t>
  </si>
  <si>
    <t>w2</t>
  </si>
  <si>
    <t>w3</t>
  </si>
  <si>
    <t>w4</t>
  </si>
  <si>
    <t>kg</t>
  </si>
  <si>
    <t>محاسبه سقف کامپوزیت LRFD</t>
  </si>
  <si>
    <t xml:space="preserve">طول دهانه </t>
  </si>
  <si>
    <t>ipe</t>
  </si>
  <si>
    <t>As cm2</t>
  </si>
  <si>
    <t>tc</t>
  </si>
  <si>
    <t>شماره تیرچه ها</t>
  </si>
  <si>
    <t xml:space="preserve">بار مرده تیرچه ها و بتن قبل از گیرش </t>
  </si>
  <si>
    <t xml:space="preserve">مساحت تیرچه </t>
  </si>
  <si>
    <t>فاصله تار خنثی از سطح دال</t>
  </si>
  <si>
    <t>a</t>
  </si>
  <si>
    <t>G</t>
  </si>
  <si>
    <t>محاسبه لنگر مقاوم مقطع Mn</t>
  </si>
  <si>
    <t>Mn</t>
  </si>
  <si>
    <t>وزن واحد طول تیر</t>
  </si>
  <si>
    <t>kg/m</t>
  </si>
  <si>
    <t>لنگر مقاوم مقطع بعد از گیرش بتن</t>
  </si>
  <si>
    <t>طراحی برش گیر ها</t>
  </si>
  <si>
    <t xml:space="preserve">شماره ناودانی </t>
  </si>
  <si>
    <t>tf</t>
  </si>
  <si>
    <t>tw</t>
  </si>
  <si>
    <t>ضخامت جان</t>
  </si>
  <si>
    <t>ضخامت بال</t>
  </si>
  <si>
    <t>برش افقی موجود در مرز بتن و تیرچه</t>
  </si>
  <si>
    <t>Vh</t>
  </si>
  <si>
    <t>ظرفیت یک برش گیر</t>
  </si>
  <si>
    <t>q</t>
  </si>
  <si>
    <t>Ec</t>
  </si>
  <si>
    <t>Es</t>
  </si>
  <si>
    <t xml:space="preserve">تعداد برش گیر </t>
  </si>
  <si>
    <t>tw cm</t>
  </si>
  <si>
    <t>tf cm</t>
  </si>
  <si>
    <t>U</t>
  </si>
  <si>
    <t>مدول الاستیسیته بتن</t>
  </si>
  <si>
    <t>مدول الاستیسیته فولاد</t>
  </si>
  <si>
    <t>Mu</t>
  </si>
  <si>
    <t>G kg/m</t>
  </si>
  <si>
    <t>I cm4</t>
  </si>
  <si>
    <t>کنترل تغییر مکان قبل از گیرش بتن</t>
  </si>
  <si>
    <t>ممانی اینرسی تیرچه</t>
  </si>
  <si>
    <t>بار زنده ی عوامل اجرایی</t>
  </si>
  <si>
    <t>بار زنده ی بهره برداری</t>
  </si>
  <si>
    <t>خيز بار زنده قبل از گیرش</t>
  </si>
  <si>
    <t>خيز بار زنده و مرده قبل از گیرش</t>
  </si>
  <si>
    <t>کنترل تغییر مکان بعد از گیرش بتن</t>
  </si>
  <si>
    <t>ممانی اینرسی مقطع مرکب</t>
  </si>
  <si>
    <t>لنگر مقاوم مقطع (تیرچه) قبل از گیرش بتن</t>
  </si>
  <si>
    <t xml:space="preserve">طول ناودانی </t>
  </si>
  <si>
    <t>Lc</t>
  </si>
  <si>
    <t>لنگر ماکسیمم بدون ضریب قبل از گیرش بتن</t>
  </si>
  <si>
    <t>لنگر ماکسیمم بدون ضریب بعد از گیرش بتن</t>
  </si>
  <si>
    <t>لنگر ماکسیمم ضریب دار قبل از گیرش بتن</t>
  </si>
  <si>
    <t>لنگر ماکسیمم ضریب دار بعد از گیرش بتن</t>
  </si>
  <si>
    <t>خيز بار زنده بعد از گیرش</t>
  </si>
  <si>
    <t>خيز بار زنده و مرده بعد از گیرش</t>
  </si>
  <si>
    <t>Ac1</t>
  </si>
  <si>
    <t>a1</t>
  </si>
  <si>
    <t>Ῡ</t>
  </si>
  <si>
    <t>IPE</t>
  </si>
  <si>
    <t>Z cm3</t>
  </si>
  <si>
    <t>کنترل ارتعاش</t>
  </si>
  <si>
    <t>f</t>
  </si>
  <si>
    <t xml:space="preserve">فرکانس نوسانی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</si>
</sst>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8"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0"/>
      <name val="B Nazanin"/>
      <charset val="178"/>
    </font>
    <font>
      <sz val="14"/>
      <color theme="1"/>
      <name val="B Nazanin"/>
      <charset val="178"/>
    </font>
    <font>
      <sz val="11"/>
      <color theme="1"/>
      <name val="B Nazanin"/>
      <charset val="178"/>
    </font>
    <font>
      <sz val="11"/>
      <color theme="1"/>
      <name val="Calibri"/>
      <family val="2"/>
    </font>
    <font>
      <sz val="18"/>
      <color theme="1"/>
      <name val="B Nazanin"/>
      <charset val="178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/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2" fontId="0" fillId="0" borderId="0" xfId="0" applyNumberFormat="1" applyBorder="1" applyAlignment="1">
      <alignment horizontal="center"/>
    </xf>
    <xf numFmtId="0" fontId="0" fillId="6" borderId="1" xfId="0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 vertical="center"/>
    </xf>
    <xf numFmtId="1" fontId="0" fillId="6" borderId="1" xfId="0" applyNumberFormat="1" applyFill="1" applyBorder="1" applyAlignment="1" applyProtection="1">
      <alignment horizontal="center" vertical="center"/>
    </xf>
    <xf numFmtId="164" fontId="0" fillId="6" borderId="1" xfId="0" applyNumberFormat="1" applyFill="1" applyBorder="1" applyAlignment="1" applyProtection="1">
      <alignment horizontal="center" vertical="center"/>
    </xf>
    <xf numFmtId="165" fontId="0" fillId="6" borderId="1" xfId="0" applyNumberForma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" fontId="0" fillId="3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6" borderId="5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533400</xdr:colOff>
      <xdr:row>38</xdr:row>
      <xdr:rowOff>157162</xdr:rowOff>
    </xdr:from>
    <xdr:ext cx="914400" cy="264560"/>
    <xdr:sp macro="" textlink="">
      <xdr:nvSpPr>
        <xdr:cNvPr id="2" name="TextBox 1"/>
        <xdr:cNvSpPr txBox="1"/>
      </xdr:nvSpPr>
      <xdr:spPr>
        <a:xfrm>
          <a:off x="9981971400" y="98631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rightToLeft="1" workbookViewId="0">
      <selection activeCell="C3" sqref="C3"/>
    </sheetView>
  </sheetViews>
  <sheetFormatPr defaultRowHeight="15"/>
  <cols>
    <col min="1" max="1" width="22" customWidth="1"/>
    <col min="2" max="2" width="14.42578125" style="1" customWidth="1"/>
    <col min="3" max="3" width="9.42578125" customWidth="1"/>
  </cols>
  <sheetData>
    <row r="1" spans="1:4">
      <c r="A1" s="3" t="s">
        <v>9</v>
      </c>
      <c r="B1" s="4" t="s">
        <v>41</v>
      </c>
      <c r="C1" s="4">
        <v>2400</v>
      </c>
      <c r="D1" s="5"/>
    </row>
    <row r="2" spans="1:4">
      <c r="A2" s="3" t="s">
        <v>39</v>
      </c>
      <c r="B2" s="4" t="s">
        <v>40</v>
      </c>
      <c r="C2" s="4">
        <v>6000</v>
      </c>
      <c r="D2" s="5"/>
    </row>
    <row r="3" spans="1:4">
      <c r="A3" s="3" t="s">
        <v>8</v>
      </c>
      <c r="B3" s="4" t="s">
        <v>42</v>
      </c>
      <c r="C3" s="4">
        <v>240</v>
      </c>
      <c r="D3" s="5"/>
    </row>
    <row r="4" spans="1:4">
      <c r="A4" s="3" t="s">
        <v>10</v>
      </c>
      <c r="B4" s="4"/>
      <c r="C4" s="4">
        <v>297461</v>
      </c>
      <c r="D4" s="5"/>
    </row>
    <row r="5" spans="1:4">
      <c r="A5" s="3" t="s">
        <v>11</v>
      </c>
      <c r="B5" s="4"/>
      <c r="C5" s="4">
        <v>205139</v>
      </c>
      <c r="D5" s="5"/>
    </row>
    <row r="6" spans="1:4">
      <c r="A6" s="3" t="s">
        <v>6</v>
      </c>
      <c r="B6" s="4"/>
      <c r="C6" s="4">
        <v>32717</v>
      </c>
      <c r="D6" s="5"/>
    </row>
    <row r="7" spans="1:4">
      <c r="A7" s="3" t="s">
        <v>6</v>
      </c>
      <c r="B7" s="4"/>
      <c r="C7" s="4">
        <v>0</v>
      </c>
      <c r="D7" s="5"/>
    </row>
    <row r="8" spans="1:4">
      <c r="A8" s="3" t="s">
        <v>13</v>
      </c>
      <c r="B8" s="4" t="s">
        <v>12</v>
      </c>
      <c r="C8" s="6">
        <f>0.6*C3</f>
        <v>144</v>
      </c>
      <c r="D8" s="5"/>
    </row>
    <row r="9" spans="1:4">
      <c r="A9" s="3" t="s">
        <v>14</v>
      </c>
      <c r="B9" s="4" t="s">
        <v>15</v>
      </c>
      <c r="C9" s="6">
        <f>C4/C8</f>
        <v>2065.7013888888887</v>
      </c>
      <c r="D9" s="5"/>
    </row>
    <row r="10" spans="1:4">
      <c r="A10" s="3"/>
      <c r="B10" s="4"/>
      <c r="C10" s="7"/>
      <c r="D10" s="5"/>
    </row>
    <row r="11" spans="1:4">
      <c r="A11" s="3" t="s">
        <v>18</v>
      </c>
      <c r="B11" s="4" t="s">
        <v>16</v>
      </c>
      <c r="C11" s="7">
        <v>24</v>
      </c>
      <c r="D11" s="5"/>
    </row>
    <row r="12" spans="1:4">
      <c r="A12" s="3" t="s">
        <v>19</v>
      </c>
      <c r="B12" s="4" t="s">
        <v>17</v>
      </c>
      <c r="C12" s="7">
        <v>27.2</v>
      </c>
      <c r="D12" s="5"/>
    </row>
    <row r="13" spans="1:4">
      <c r="A13" s="3" t="s">
        <v>22</v>
      </c>
      <c r="B13" s="4"/>
      <c r="C13" s="6">
        <f>(-(0.95*C12-0.8*C11)+((0.95*C12-0.8*C11)^2-4*-C9)^0.5)/2</f>
        <v>42.251085008905463</v>
      </c>
      <c r="D13" s="5"/>
    </row>
    <row r="14" spans="1:4">
      <c r="A14" s="3" t="s">
        <v>23</v>
      </c>
      <c r="B14" s="4"/>
      <c r="C14" s="6">
        <f>C13+0.95*C12-0.8*C11</f>
        <v>48.891085008905463</v>
      </c>
      <c r="D14" s="5"/>
    </row>
    <row r="15" spans="1:4">
      <c r="A15" s="3" t="s">
        <v>20</v>
      </c>
      <c r="B15" s="4"/>
      <c r="C15" s="4">
        <v>55</v>
      </c>
      <c r="D15" s="5"/>
    </row>
    <row r="16" spans="1:4">
      <c r="A16" s="3" t="s">
        <v>21</v>
      </c>
      <c r="B16" s="4"/>
      <c r="C16" s="4">
        <v>55</v>
      </c>
      <c r="D16" s="5"/>
    </row>
    <row r="17" spans="1:11">
      <c r="A17" s="3" t="s">
        <v>24</v>
      </c>
      <c r="B17" s="4"/>
      <c r="C17" s="6">
        <f>(C16-0.95*C12)/2</f>
        <v>14.58</v>
      </c>
      <c r="D17" s="5"/>
    </row>
    <row r="18" spans="1:11">
      <c r="A18" s="3" t="s">
        <v>25</v>
      </c>
      <c r="B18" s="4"/>
      <c r="C18" s="6">
        <f>(C15-0.8*C11)/2</f>
        <v>17.899999999999999</v>
      </c>
      <c r="D18" s="5"/>
    </row>
    <row r="19" spans="1:11">
      <c r="A19" s="3" t="s">
        <v>26</v>
      </c>
      <c r="B19" s="4"/>
      <c r="C19" s="4">
        <v>10000</v>
      </c>
      <c r="D19" s="5"/>
    </row>
    <row r="20" spans="1:11">
      <c r="A20" s="3" t="s">
        <v>13</v>
      </c>
      <c r="B20" s="4"/>
      <c r="C20" s="6">
        <f>MIN(C8,0.6*(C19/C15/C16)^0.5*C3)</f>
        <v>144</v>
      </c>
      <c r="D20" s="5"/>
    </row>
    <row r="21" spans="1:11">
      <c r="A21" s="3" t="s">
        <v>28</v>
      </c>
      <c r="B21" s="4" t="s">
        <v>27</v>
      </c>
      <c r="C21" s="6">
        <f>C4/C15/C16</f>
        <v>98.334214876033045</v>
      </c>
      <c r="D21" s="4" t="str">
        <f>IF(C21&lt;C20,"OK","NOT OK")</f>
        <v>OK</v>
      </c>
    </row>
    <row r="22" spans="1:11">
      <c r="A22" s="3"/>
      <c r="B22" s="4"/>
      <c r="C22" s="5"/>
      <c r="D22" s="5"/>
    </row>
    <row r="23" spans="1:11">
      <c r="A23" s="11"/>
      <c r="B23" s="12"/>
      <c r="C23" s="13"/>
      <c r="D23" s="13"/>
    </row>
    <row r="24" spans="1:11">
      <c r="A24" s="3" t="s">
        <v>29</v>
      </c>
      <c r="B24" s="4"/>
      <c r="C24" s="6">
        <f>0.5*C21*C15*C17^2</f>
        <v>574847.16836727271</v>
      </c>
      <c r="D24" s="5"/>
    </row>
    <row r="25" spans="1:11">
      <c r="A25" s="3" t="s">
        <v>7</v>
      </c>
      <c r="B25" s="4"/>
      <c r="C25" s="4">
        <v>2</v>
      </c>
      <c r="D25" s="4"/>
      <c r="E25" s="1"/>
      <c r="F25" s="1"/>
      <c r="G25" s="1"/>
      <c r="H25" s="1"/>
      <c r="I25" s="1"/>
      <c r="J25" s="1"/>
      <c r="K25" s="1"/>
    </row>
    <row r="26" spans="1:11">
      <c r="A26" s="3" t="s">
        <v>31</v>
      </c>
      <c r="B26" s="4"/>
      <c r="C26" s="4">
        <v>1.2</v>
      </c>
      <c r="D26" s="4"/>
      <c r="E26" s="1"/>
      <c r="F26" s="1"/>
      <c r="G26" s="1"/>
      <c r="H26" s="1"/>
      <c r="I26" s="1"/>
      <c r="J26" s="1"/>
      <c r="K26" s="1"/>
    </row>
    <row r="27" spans="1:11">
      <c r="A27" s="3" t="s">
        <v>0</v>
      </c>
      <c r="B27" s="4"/>
      <c r="C27" s="4">
        <v>20</v>
      </c>
      <c r="D27" s="4"/>
      <c r="E27" s="1"/>
      <c r="F27" s="1"/>
      <c r="G27" s="1"/>
      <c r="H27" s="1"/>
      <c r="I27" s="1"/>
      <c r="J27" s="1"/>
      <c r="K27" s="1"/>
    </row>
    <row r="28" spans="1:11">
      <c r="A28" s="3" t="s">
        <v>1</v>
      </c>
      <c r="B28" s="4"/>
      <c r="C28" s="6">
        <f>C15</f>
        <v>55</v>
      </c>
      <c r="D28" s="4"/>
      <c r="E28" s="1"/>
      <c r="F28" s="1"/>
      <c r="G28" s="1"/>
      <c r="H28" s="1"/>
      <c r="I28" s="1"/>
      <c r="J28" s="1"/>
      <c r="K28" s="1"/>
    </row>
    <row r="29" spans="1:11">
      <c r="A29" s="3" t="s">
        <v>2</v>
      </c>
      <c r="B29" s="4" t="s">
        <v>34</v>
      </c>
      <c r="C29" s="4">
        <v>2</v>
      </c>
      <c r="D29" s="4"/>
      <c r="E29" s="1"/>
      <c r="F29" s="1"/>
      <c r="G29" s="1"/>
      <c r="H29" s="1"/>
      <c r="I29" s="1"/>
      <c r="J29" s="1"/>
      <c r="K29" s="1"/>
    </row>
    <row r="30" spans="1:11">
      <c r="A30" s="3" t="s">
        <v>3</v>
      </c>
      <c r="B30" s="4"/>
      <c r="C30" s="6">
        <f>(C25*C27*C26*((C27/2)+C29)+C28*C29*C29/2)/(C28*C29+C25*C27*C26)</f>
        <v>4.3417721518987342</v>
      </c>
      <c r="D30" s="4"/>
      <c r="E30" s="1"/>
      <c r="F30" s="1"/>
      <c r="G30" s="1"/>
      <c r="H30" s="1"/>
      <c r="I30" s="1"/>
      <c r="J30" s="1"/>
      <c r="K30" s="1"/>
    </row>
    <row r="31" spans="1:11">
      <c r="A31" s="3" t="s">
        <v>4</v>
      </c>
      <c r="B31" s="4" t="s">
        <v>32</v>
      </c>
      <c r="C31" s="6">
        <f>C25*((C26*C27^3/12)+C26*C27*(C27/2+C29-C30)^2)+C28*C29^3/12+C28*C29*(C30-C29/2)^2</f>
        <v>5680.2109704641352</v>
      </c>
      <c r="D31" s="4"/>
      <c r="E31" s="1"/>
      <c r="F31" s="1"/>
      <c r="G31" s="1"/>
      <c r="H31" s="1"/>
      <c r="I31" s="1"/>
      <c r="J31" s="1"/>
      <c r="K31" s="1"/>
    </row>
    <row r="32" spans="1:11">
      <c r="A32" s="3" t="s">
        <v>5</v>
      </c>
      <c r="B32" s="4" t="s">
        <v>33</v>
      </c>
      <c r="C32" s="6">
        <f>C24*(C27+C29-C30)/C31</f>
        <v>1787.0431801999957</v>
      </c>
      <c r="D32" s="4" t="str">
        <f>IF(C32&lt;1800,"OK","NOT OK")</f>
        <v>OK</v>
      </c>
      <c r="E32" s="1"/>
      <c r="F32" s="1"/>
      <c r="G32" s="1"/>
      <c r="H32" s="1"/>
      <c r="I32" s="1"/>
      <c r="J32" s="1"/>
      <c r="K32" s="1"/>
    </row>
    <row r="33" spans="1:11">
      <c r="A33" s="11"/>
      <c r="B33" s="12"/>
      <c r="C33" s="12"/>
      <c r="D33" s="12"/>
      <c r="E33" s="1"/>
      <c r="F33" s="1"/>
      <c r="G33" s="1"/>
      <c r="H33" s="1"/>
      <c r="I33" s="1"/>
      <c r="J33" s="1"/>
      <c r="K33" s="1"/>
    </row>
    <row r="34" spans="1:11">
      <c r="A34" s="3" t="s">
        <v>30</v>
      </c>
      <c r="B34" s="4"/>
      <c r="C34" s="6">
        <f>0.5*C21*C16*C18^2</f>
        <v>866449.80918181804</v>
      </c>
      <c r="D34" s="5"/>
    </row>
    <row r="35" spans="1:11">
      <c r="A35" s="3" t="s">
        <v>7</v>
      </c>
      <c r="B35" s="4"/>
      <c r="C35" s="4">
        <v>2</v>
      </c>
      <c r="D35" s="4"/>
      <c r="E35" s="1"/>
      <c r="F35" s="1"/>
      <c r="G35" s="1"/>
      <c r="H35" s="1"/>
      <c r="I35" s="1"/>
      <c r="J35" s="1"/>
      <c r="K35" s="1"/>
    </row>
    <row r="36" spans="1:11">
      <c r="A36" s="3" t="s">
        <v>31</v>
      </c>
      <c r="B36" s="4"/>
      <c r="C36" s="4">
        <v>1.2</v>
      </c>
      <c r="D36" s="4"/>
      <c r="E36" s="1"/>
      <c r="F36" s="1"/>
      <c r="G36" s="1"/>
      <c r="H36" s="1"/>
      <c r="I36" s="1"/>
      <c r="J36" s="1"/>
      <c r="K36" s="1"/>
    </row>
    <row r="37" spans="1:11">
      <c r="A37" s="3" t="s">
        <v>0</v>
      </c>
      <c r="B37" s="4"/>
      <c r="C37" s="4">
        <v>25</v>
      </c>
      <c r="D37" s="4"/>
      <c r="E37" s="1"/>
      <c r="F37" s="1"/>
      <c r="G37" s="1"/>
      <c r="H37" s="1"/>
      <c r="I37" s="1"/>
      <c r="J37" s="1"/>
      <c r="K37" s="1"/>
    </row>
    <row r="38" spans="1:11">
      <c r="A38" s="3" t="s">
        <v>1</v>
      </c>
      <c r="B38" s="4"/>
      <c r="C38" s="6">
        <f>C16</f>
        <v>55</v>
      </c>
      <c r="D38" s="4"/>
      <c r="E38" s="1"/>
      <c r="F38" s="1"/>
      <c r="G38" s="1"/>
      <c r="H38" s="1"/>
      <c r="I38" s="1"/>
      <c r="J38" s="1"/>
      <c r="K38" s="1"/>
    </row>
    <row r="39" spans="1:11">
      <c r="A39" s="3" t="s">
        <v>2</v>
      </c>
      <c r="B39" s="4" t="s">
        <v>34</v>
      </c>
      <c r="C39" s="4">
        <v>2</v>
      </c>
      <c r="D39" s="4"/>
      <c r="E39" s="1"/>
      <c r="F39" s="1"/>
      <c r="G39" s="1"/>
      <c r="H39" s="1"/>
      <c r="I39" s="1"/>
      <c r="J39" s="1"/>
      <c r="K39" s="1"/>
    </row>
    <row r="40" spans="1:11">
      <c r="A40" s="3" t="s">
        <v>3</v>
      </c>
      <c r="B40" s="4"/>
      <c r="C40" s="6">
        <f>(C35*C37*C36*((C37/2)+C39)+C38*C39*C39/2)/(C38*C39+C35*C37*C36)</f>
        <v>5.7647058823529411</v>
      </c>
      <c r="D40" s="4"/>
      <c r="E40" s="1"/>
      <c r="F40" s="1"/>
      <c r="G40" s="1"/>
      <c r="H40" s="1"/>
      <c r="I40" s="1"/>
      <c r="J40" s="1"/>
      <c r="K40" s="1"/>
    </row>
    <row r="41" spans="1:11">
      <c r="A41" s="3" t="s">
        <v>4</v>
      </c>
      <c r="B41" s="4" t="s">
        <v>32</v>
      </c>
      <c r="C41" s="6">
        <f>C35*((C36*C37^3/12)+C36*C37*(C37/2+C39-C40)^2)+C38*C39^3/12+C38*C39*(C40-C39/2)^2</f>
        <v>10237.254901960783</v>
      </c>
      <c r="D41" s="4"/>
      <c r="E41" s="1"/>
      <c r="F41" s="1"/>
      <c r="G41" s="1"/>
      <c r="H41" s="1"/>
      <c r="I41" s="1"/>
      <c r="J41" s="1"/>
      <c r="K41" s="1"/>
    </row>
    <row r="42" spans="1:11">
      <c r="A42" s="3" t="s">
        <v>5</v>
      </c>
      <c r="B42" s="4" t="s">
        <v>33</v>
      </c>
      <c r="C42" s="6">
        <f>C34*(C37+C39-C40)/C41</f>
        <v>1797.2900657803273</v>
      </c>
      <c r="D42" s="4" t="str">
        <f>IF(C42&lt;1800,"OK","NOT OK")</f>
        <v>OK</v>
      </c>
      <c r="E42" s="1"/>
      <c r="F42" s="1"/>
      <c r="G42" s="1"/>
      <c r="H42" s="1"/>
      <c r="I42" s="1"/>
      <c r="J42" s="1"/>
      <c r="K42" s="1"/>
    </row>
    <row r="43" spans="1:11">
      <c r="A43" s="9"/>
      <c r="B43" s="10"/>
      <c r="C43" s="10"/>
      <c r="D43" s="10"/>
      <c r="E43" s="1"/>
      <c r="F43" s="1"/>
      <c r="G43" s="1"/>
      <c r="H43" s="1"/>
      <c r="I43" s="1"/>
      <c r="J43" s="1"/>
      <c r="K43" s="1"/>
    </row>
    <row r="44" spans="1:11">
      <c r="A44" s="3" t="s">
        <v>35</v>
      </c>
      <c r="B44" s="4" t="s">
        <v>36</v>
      </c>
      <c r="C44" s="6">
        <f>C5/0.33/C2</f>
        <v>103.60555555555554</v>
      </c>
      <c r="D44" s="4"/>
      <c r="E44" s="1"/>
      <c r="F44" s="1"/>
      <c r="G44" s="1"/>
      <c r="H44" s="1"/>
      <c r="I44" s="1"/>
      <c r="J44" s="1"/>
      <c r="K44" s="1"/>
    </row>
    <row r="45" spans="1:11">
      <c r="A45" s="3" t="s">
        <v>38</v>
      </c>
      <c r="B45" s="4" t="s">
        <v>17</v>
      </c>
      <c r="C45" s="4">
        <v>3.2</v>
      </c>
      <c r="D45" s="4"/>
      <c r="E45" s="1"/>
      <c r="F45" s="1"/>
      <c r="G45" s="1"/>
      <c r="H45" s="1"/>
      <c r="I45" s="1"/>
      <c r="J45" s="1"/>
      <c r="K45" s="1"/>
    </row>
    <row r="46" spans="1:11">
      <c r="A46" s="3" t="s">
        <v>63</v>
      </c>
      <c r="B46" s="4" t="s">
        <v>37</v>
      </c>
      <c r="C46" s="4">
        <v>13</v>
      </c>
      <c r="D46" s="4"/>
      <c r="E46" s="1"/>
      <c r="F46" s="1"/>
      <c r="G46" s="1"/>
      <c r="H46" s="1"/>
      <c r="I46" s="1"/>
      <c r="J46" s="1"/>
      <c r="K46" s="1"/>
    </row>
    <row r="47" spans="1:11">
      <c r="A47" s="3" t="s">
        <v>45</v>
      </c>
      <c r="B47" s="4" t="s">
        <v>36</v>
      </c>
      <c r="C47" s="6">
        <f>(C46*C45^2/4*PI())</f>
        <v>104.55220351146833</v>
      </c>
      <c r="D47" s="4"/>
      <c r="E47" s="1"/>
      <c r="F47" s="1"/>
      <c r="G47" s="1"/>
      <c r="H47" s="1"/>
      <c r="I47" s="1"/>
      <c r="J47" s="1"/>
      <c r="K47" s="1"/>
    </row>
    <row r="48" spans="1:11">
      <c r="A48" s="3" t="s">
        <v>43</v>
      </c>
      <c r="B48" s="4" t="s">
        <v>44</v>
      </c>
      <c r="C48" s="6">
        <f>(C6^2+C7^2)^0.5/C47</f>
        <v>312.92501641451554</v>
      </c>
      <c r="D48" s="4" t="str">
        <f>IF(C48&lt;C49,"OK","NOT OK")</f>
        <v>OK</v>
      </c>
      <c r="E48" s="1"/>
      <c r="F48" s="1"/>
      <c r="G48" s="1"/>
      <c r="H48" s="1"/>
      <c r="I48" s="1"/>
      <c r="J48" s="1"/>
      <c r="K48" s="1"/>
    </row>
    <row r="49" spans="1:11">
      <c r="A49" s="3" t="s">
        <v>46</v>
      </c>
      <c r="B49" s="4" t="s">
        <v>47</v>
      </c>
      <c r="C49" s="6">
        <f>0.17*C2</f>
        <v>1020.0000000000001</v>
      </c>
      <c r="D49" s="4"/>
      <c r="E49" s="1"/>
      <c r="F49" s="1"/>
      <c r="G49" s="1"/>
      <c r="H49" s="1"/>
      <c r="I49" s="1"/>
      <c r="J49" s="1"/>
      <c r="K49" s="1"/>
    </row>
    <row r="50" spans="1:11">
      <c r="A50" s="3" t="s">
        <v>49</v>
      </c>
      <c r="B50" s="4" t="s">
        <v>48</v>
      </c>
      <c r="C50" s="6">
        <f>MIN(0.43*C2-1.8*C48,0.33*C2)</f>
        <v>1980</v>
      </c>
      <c r="D50" s="4"/>
      <c r="E50" s="1"/>
      <c r="F50" s="1"/>
      <c r="G50" s="1"/>
      <c r="H50" s="1"/>
      <c r="I50" s="1"/>
      <c r="J50" s="1"/>
      <c r="K50" s="1"/>
    </row>
    <row r="51" spans="1:11">
      <c r="A51" s="3" t="s">
        <v>50</v>
      </c>
      <c r="B51" s="4" t="s">
        <v>51</v>
      </c>
      <c r="C51" s="8">
        <f>C5/C47</f>
        <v>1962.0724682048265</v>
      </c>
      <c r="D51" s="4" t="str">
        <f>IF(C51&lt;C50,"OK","NOT OK")</f>
        <v>OK</v>
      </c>
    </row>
    <row r="52" spans="1:11">
      <c r="A52" s="3"/>
      <c r="B52" s="4"/>
      <c r="C52" s="5"/>
      <c r="D52" s="4"/>
    </row>
    <row r="53" spans="1:11">
      <c r="A53" s="3"/>
      <c r="B53" s="4"/>
      <c r="C53" s="5"/>
      <c r="D53" s="4"/>
    </row>
    <row r="54" spans="1:11">
      <c r="A54" s="3"/>
      <c r="B54" s="4"/>
      <c r="C54" s="5"/>
      <c r="D54" s="4"/>
    </row>
    <row r="55" spans="1:11">
      <c r="A55" s="3"/>
      <c r="B55" s="4"/>
      <c r="C55" s="5"/>
      <c r="D55" s="4"/>
    </row>
    <row r="56" spans="1:11">
      <c r="A56" s="3"/>
      <c r="B56" s="4"/>
      <c r="C56" s="5"/>
      <c r="D56" s="4"/>
    </row>
    <row r="57" spans="1:11">
      <c r="A57" s="3"/>
      <c r="B57" s="4"/>
      <c r="C57" s="5"/>
      <c r="D57" s="4"/>
    </row>
    <row r="58" spans="1:11">
      <c r="A58" s="3"/>
      <c r="B58" s="4"/>
      <c r="C58" s="5"/>
      <c r="D58" s="4"/>
    </row>
    <row r="59" spans="1:11">
      <c r="A59" s="3"/>
      <c r="B59" s="4"/>
      <c r="C59" s="5"/>
      <c r="D59" s="4"/>
    </row>
    <row r="60" spans="1:11">
      <c r="A60" s="3"/>
      <c r="B60" s="4"/>
      <c r="C60" s="5"/>
      <c r="D60" s="4"/>
    </row>
    <row r="61" spans="1:11">
      <c r="A61" s="3"/>
      <c r="B61" s="4"/>
      <c r="C61" s="5"/>
      <c r="D61" s="4"/>
    </row>
    <row r="62" spans="1:11">
      <c r="A62" s="3"/>
      <c r="B62" s="4"/>
      <c r="C62" s="5"/>
      <c r="D62" s="4"/>
    </row>
    <row r="63" spans="1:11">
      <c r="A63" s="3"/>
      <c r="B63" s="4"/>
      <c r="C63" s="5"/>
      <c r="D63" s="4"/>
    </row>
    <row r="64" spans="1:11">
      <c r="A64" s="3"/>
      <c r="B64" s="4"/>
      <c r="C64" s="5"/>
      <c r="D64" s="4"/>
    </row>
    <row r="65" spans="1:4">
      <c r="A65" s="2"/>
      <c r="D65" s="1"/>
    </row>
    <row r="66" spans="1:4">
      <c r="A66" s="2"/>
      <c r="D66" s="1"/>
    </row>
    <row r="67" spans="1:4">
      <c r="A67" s="2"/>
    </row>
    <row r="68" spans="1:4">
      <c r="A68" s="2"/>
    </row>
    <row r="69" spans="1:4">
      <c r="A69" s="2"/>
    </row>
    <row r="70" spans="1:4">
      <c r="A70" s="2"/>
    </row>
    <row r="71" spans="1:4">
      <c r="A71" s="2"/>
    </row>
    <row r="72" spans="1:4">
      <c r="A72" s="2"/>
    </row>
    <row r="73" spans="1:4">
      <c r="A7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7"/>
  <sheetViews>
    <sheetView rightToLeft="1" workbookViewId="0">
      <selection activeCell="C10" sqref="C10"/>
    </sheetView>
  </sheetViews>
  <sheetFormatPr defaultRowHeight="15"/>
  <cols>
    <col min="1" max="1" width="21.140625" customWidth="1"/>
    <col min="2" max="2" width="15.140625" customWidth="1"/>
  </cols>
  <sheetData>
    <row r="1" spans="1:4">
      <c r="A1" s="3" t="s">
        <v>9</v>
      </c>
      <c r="B1" s="4" t="s">
        <v>41</v>
      </c>
      <c r="C1" s="4">
        <v>2400</v>
      </c>
      <c r="D1" s="5"/>
    </row>
    <row r="2" spans="1:4">
      <c r="A2" s="3" t="s">
        <v>39</v>
      </c>
      <c r="B2" s="4" t="s">
        <v>40</v>
      </c>
      <c r="C2" s="4">
        <v>6000</v>
      </c>
      <c r="D2" s="5"/>
    </row>
    <row r="3" spans="1:4">
      <c r="A3" s="3" t="s">
        <v>8</v>
      </c>
      <c r="B3" s="4" t="s">
        <v>42</v>
      </c>
      <c r="C3" s="4">
        <v>240</v>
      </c>
      <c r="D3" s="5"/>
    </row>
    <row r="4" spans="1:4">
      <c r="A4" s="3" t="s">
        <v>10</v>
      </c>
      <c r="B4" s="4"/>
      <c r="C4" s="4">
        <v>306437</v>
      </c>
      <c r="D4" s="5"/>
    </row>
    <row r="5" spans="1:4">
      <c r="A5" s="3" t="s">
        <v>11</v>
      </c>
      <c r="B5" s="4"/>
      <c r="C5" s="4">
        <v>257360</v>
      </c>
      <c r="D5" s="5"/>
    </row>
    <row r="6" spans="1:4">
      <c r="A6" s="3" t="s">
        <v>6</v>
      </c>
      <c r="B6" s="4"/>
      <c r="C6" s="4">
        <v>32846</v>
      </c>
      <c r="D6" s="5"/>
    </row>
    <row r="7" spans="1:4">
      <c r="A7" s="3" t="s">
        <v>6</v>
      </c>
      <c r="B7" s="4"/>
      <c r="C7" s="4">
        <v>21279</v>
      </c>
      <c r="D7" s="5"/>
    </row>
    <row r="8" spans="1:4">
      <c r="A8" s="3" t="s">
        <v>13</v>
      </c>
      <c r="B8" s="4" t="s">
        <v>12</v>
      </c>
      <c r="C8" s="6">
        <f>0.6*C3</f>
        <v>144</v>
      </c>
      <c r="D8" s="5"/>
    </row>
    <row r="9" spans="1:4">
      <c r="A9" s="3" t="s">
        <v>14</v>
      </c>
      <c r="B9" s="4" t="s">
        <v>15</v>
      </c>
      <c r="C9" s="6">
        <f>C4/C8</f>
        <v>2128.0347222222222</v>
      </c>
      <c r="D9" s="5"/>
    </row>
    <row r="10" spans="1:4">
      <c r="A10" s="3"/>
      <c r="B10" s="4"/>
      <c r="C10" s="7"/>
      <c r="D10" s="5"/>
    </row>
    <row r="11" spans="1:4">
      <c r="A11" s="3" t="s">
        <v>18</v>
      </c>
      <c r="B11" s="4" t="s">
        <v>16</v>
      </c>
      <c r="C11" s="7">
        <v>24</v>
      </c>
      <c r="D11" s="5"/>
    </row>
    <row r="12" spans="1:4">
      <c r="A12" s="3" t="s">
        <v>19</v>
      </c>
      <c r="B12" s="4" t="s">
        <v>17</v>
      </c>
      <c r="C12" s="7">
        <v>27.2</v>
      </c>
      <c r="D12" s="5"/>
    </row>
    <row r="13" spans="1:4">
      <c r="A13" s="3" t="s">
        <v>20</v>
      </c>
      <c r="B13" s="4"/>
      <c r="C13" s="4">
        <v>45</v>
      </c>
      <c r="D13" s="5"/>
    </row>
    <row r="14" spans="1:4">
      <c r="A14" s="3" t="s">
        <v>21</v>
      </c>
      <c r="B14" s="4"/>
      <c r="C14" s="4">
        <v>90</v>
      </c>
      <c r="D14" s="5"/>
    </row>
    <row r="15" spans="1:4">
      <c r="A15" s="3" t="s">
        <v>52</v>
      </c>
      <c r="B15" s="4"/>
      <c r="C15" s="4">
        <v>15</v>
      </c>
      <c r="D15" s="5"/>
    </row>
    <row r="16" spans="1:4">
      <c r="A16" s="3" t="s">
        <v>53</v>
      </c>
      <c r="B16" s="4" t="s">
        <v>54</v>
      </c>
      <c r="C16" s="6">
        <f>C13/2-C15</f>
        <v>7.5</v>
      </c>
      <c r="D16" s="5"/>
    </row>
    <row r="17" spans="1:4">
      <c r="A17" s="3" t="s">
        <v>55</v>
      </c>
      <c r="B17" s="4" t="s">
        <v>56</v>
      </c>
      <c r="C17" s="6">
        <f>C13/6</f>
        <v>7.5</v>
      </c>
      <c r="D17" s="5"/>
    </row>
    <row r="18" spans="1:4">
      <c r="A18" s="3" t="s">
        <v>24</v>
      </c>
      <c r="B18" s="4"/>
      <c r="C18" s="6">
        <f>(C14-0.95*C12)/2</f>
        <v>32.08</v>
      </c>
      <c r="D18" s="5"/>
    </row>
    <row r="19" spans="1:4">
      <c r="A19" s="3" t="s">
        <v>25</v>
      </c>
      <c r="B19" s="4"/>
      <c r="C19" s="6">
        <f>(C13-0.8*C11)/2</f>
        <v>12.899999999999999</v>
      </c>
      <c r="D19" s="5"/>
    </row>
    <row r="20" spans="1:4">
      <c r="A20" s="3" t="s">
        <v>26</v>
      </c>
      <c r="B20" s="4"/>
      <c r="C20" s="4">
        <v>100000</v>
      </c>
      <c r="D20" s="5"/>
    </row>
    <row r="21" spans="1:4">
      <c r="A21" s="3" t="s">
        <v>13</v>
      </c>
      <c r="B21" s="4"/>
      <c r="C21" s="6">
        <f>MIN(C8,0.6*(C20/C13/C14)^0.5*C3)</f>
        <v>144</v>
      </c>
      <c r="D21" s="5"/>
    </row>
    <row r="22" spans="1:4">
      <c r="A22" s="3" t="s">
        <v>57</v>
      </c>
      <c r="B22" s="4" t="s">
        <v>58</v>
      </c>
      <c r="C22" s="6">
        <f>C4/C13/C14*(1+6*C16/C13)</f>
        <v>151.3269135802469</v>
      </c>
      <c r="D22" s="4" t="str">
        <f>IF(C22&lt;C21,"OK","NOT OK")</f>
        <v>NOT OK</v>
      </c>
    </row>
    <row r="23" spans="1:4">
      <c r="A23" s="3" t="s">
        <v>61</v>
      </c>
      <c r="B23" s="4" t="s">
        <v>59</v>
      </c>
      <c r="C23" s="6">
        <f>C4/C14/C13*(1-6*C16/C13)</f>
        <v>0</v>
      </c>
      <c r="D23" s="4"/>
    </row>
    <row r="24" spans="1:4">
      <c r="A24" s="3" t="s">
        <v>62</v>
      </c>
      <c r="B24" s="4" t="s">
        <v>60</v>
      </c>
      <c r="C24" s="6">
        <f>C4/(C14*C13)+(C4*C16*(C13/2-C19))/((C14*C13^3)/12)</f>
        <v>107.94653168724281</v>
      </c>
      <c r="D24" s="4"/>
    </row>
    <row r="25" spans="1:4">
      <c r="A25" s="3"/>
      <c r="B25" s="4"/>
      <c r="C25" s="5"/>
      <c r="D25" s="5"/>
    </row>
    <row r="26" spans="1:4">
      <c r="A26" s="3"/>
      <c r="B26" s="4"/>
      <c r="C26" s="5"/>
      <c r="D26" s="5"/>
    </row>
    <row r="27" spans="1:4">
      <c r="A27" s="3" t="s">
        <v>29</v>
      </c>
      <c r="B27" s="4"/>
      <c r="C27" s="6">
        <f>((C22+C23)*C13*C18^2)/4</f>
        <v>1752013.3702044438</v>
      </c>
      <c r="D27" s="5"/>
    </row>
    <row r="28" spans="1:4">
      <c r="A28" s="3" t="s">
        <v>7</v>
      </c>
      <c r="B28" s="4"/>
      <c r="C28" s="4">
        <v>4</v>
      </c>
      <c r="D28" s="4"/>
    </row>
    <row r="29" spans="1:4">
      <c r="A29" s="3" t="s">
        <v>31</v>
      </c>
      <c r="B29" s="4"/>
      <c r="C29" s="4">
        <v>1.4</v>
      </c>
      <c r="D29" s="4"/>
    </row>
    <row r="30" spans="1:4">
      <c r="A30" s="3" t="s">
        <v>0</v>
      </c>
      <c r="B30" s="4"/>
      <c r="C30" s="4">
        <v>25</v>
      </c>
      <c r="D30" s="4"/>
    </row>
    <row r="31" spans="1:4">
      <c r="A31" s="3" t="s">
        <v>1</v>
      </c>
      <c r="B31" s="4"/>
      <c r="C31" s="6">
        <f>C13</f>
        <v>45</v>
      </c>
      <c r="D31" s="4"/>
    </row>
    <row r="32" spans="1:4">
      <c r="A32" s="3" t="s">
        <v>2</v>
      </c>
      <c r="B32" s="4" t="s">
        <v>34</v>
      </c>
      <c r="C32" s="4">
        <v>2</v>
      </c>
      <c r="D32" s="4"/>
    </row>
    <row r="33" spans="1:4">
      <c r="A33" s="3" t="s">
        <v>3</v>
      </c>
      <c r="B33" s="4"/>
      <c r="C33" s="6">
        <f>(C28*C30*C29*((C30/2)+C32)+C31*C32*C32/2)/(C31*C32+C28*C30*C29)</f>
        <v>9.2173913043478262</v>
      </c>
      <c r="D33" s="4"/>
    </row>
    <row r="34" spans="1:4">
      <c r="A34" s="3" t="s">
        <v>4</v>
      </c>
      <c r="B34" s="4" t="s">
        <v>32</v>
      </c>
      <c r="C34" s="6">
        <f>C28*((C29*C30^3/12)+C29*C30*(C30/2+C32-C33)^2)+C31*C32^3/12+C31*C32*(C33-C32/2)^2</f>
        <v>17305.797101449276</v>
      </c>
      <c r="D34" s="4"/>
    </row>
    <row r="35" spans="1:4">
      <c r="A35" s="3" t="s">
        <v>5</v>
      </c>
      <c r="B35" s="4" t="s">
        <v>33</v>
      </c>
      <c r="C35" s="6">
        <f>C27*(C30+C32-C33)/C34</f>
        <v>1800.2850726411959</v>
      </c>
      <c r="D35" s="4" t="str">
        <f>IF(C35&lt;1800,"OK","NOT OK")</f>
        <v>NOT OK</v>
      </c>
    </row>
    <row r="36" spans="1:4">
      <c r="A36" s="3"/>
      <c r="B36" s="4"/>
      <c r="C36" s="4"/>
      <c r="D36" s="4"/>
    </row>
    <row r="37" spans="1:4">
      <c r="A37" s="3" t="s">
        <v>30</v>
      </c>
      <c r="B37" s="4"/>
      <c r="C37" s="6">
        <f>(C24*C14*C19^2)/2+(C22-C24)*C14*C19^2/3</f>
        <v>1024920.0857377775</v>
      </c>
      <c r="D37" s="5"/>
    </row>
    <row r="38" spans="1:4">
      <c r="A38" s="3" t="s">
        <v>7</v>
      </c>
      <c r="B38" s="4"/>
      <c r="C38" s="4">
        <v>2</v>
      </c>
      <c r="D38" s="4"/>
    </row>
    <row r="39" spans="1:4">
      <c r="A39" s="3" t="s">
        <v>31</v>
      </c>
      <c r="B39" s="4"/>
      <c r="C39" s="4">
        <v>1.4</v>
      </c>
      <c r="D39" s="4"/>
    </row>
    <row r="40" spans="1:4">
      <c r="A40" s="3" t="s">
        <v>0</v>
      </c>
      <c r="B40" s="4"/>
      <c r="C40" s="4">
        <v>25</v>
      </c>
      <c r="D40" s="4"/>
    </row>
    <row r="41" spans="1:4">
      <c r="A41" s="3" t="s">
        <v>1</v>
      </c>
      <c r="B41" s="4"/>
      <c r="C41" s="6">
        <f>C14</f>
        <v>90</v>
      </c>
      <c r="D41" s="4"/>
    </row>
    <row r="42" spans="1:4">
      <c r="A42" s="3" t="s">
        <v>2</v>
      </c>
      <c r="B42" s="4" t="s">
        <v>34</v>
      </c>
      <c r="C42" s="4">
        <v>2</v>
      </c>
      <c r="D42" s="4"/>
    </row>
    <row r="43" spans="1:4">
      <c r="A43" s="3" t="s">
        <v>3</v>
      </c>
      <c r="B43" s="4"/>
      <c r="C43" s="6">
        <f>(C38*C40*C39*((C40/2)+C42)+C41*C42*C42/2)/(C41*C42+C38*C40*C39)</f>
        <v>4.78</v>
      </c>
      <c r="D43" s="4"/>
    </row>
    <row r="44" spans="1:4">
      <c r="A44" s="3" t="s">
        <v>4</v>
      </c>
      <c r="B44" s="4" t="s">
        <v>32</v>
      </c>
      <c r="C44" s="6">
        <f>C38*((C39*C40^3/12)+C39*C40*(C40/2+C42-C43)^2)+C41*C42^3/12+C41*C42*(C43-C42/2)^2</f>
        <v>12891.233333333332</v>
      </c>
      <c r="D44" s="4"/>
    </row>
    <row r="45" spans="1:4">
      <c r="A45" s="3" t="s">
        <v>5</v>
      </c>
      <c r="B45" s="4" t="s">
        <v>33</v>
      </c>
      <c r="C45" s="6">
        <f>C37*(C40+C42-C43)/C44</f>
        <v>1766.6055462828811</v>
      </c>
      <c r="D45" s="4" t="str">
        <f>IF(C45&lt;1800,"OK","NOT OK")</f>
        <v>OK</v>
      </c>
    </row>
    <row r="46" spans="1:4">
      <c r="A46" s="48"/>
      <c r="B46" s="49"/>
      <c r="C46" s="49"/>
      <c r="D46" s="50"/>
    </row>
    <row r="47" spans="1:4" ht="30">
      <c r="A47" s="14" t="s">
        <v>64</v>
      </c>
      <c r="B47" s="4" t="s">
        <v>36</v>
      </c>
      <c r="C47" s="6">
        <f>C5/0.33/C2</f>
        <v>129.97979797979798</v>
      </c>
      <c r="D47" s="4"/>
    </row>
    <row r="48" spans="1:4">
      <c r="A48" s="3" t="s">
        <v>38</v>
      </c>
      <c r="B48" s="4" t="s">
        <v>17</v>
      </c>
      <c r="C48" s="4">
        <v>3.2</v>
      </c>
      <c r="D48" s="4"/>
    </row>
    <row r="49" spans="1:4">
      <c r="A49" s="3" t="s">
        <v>63</v>
      </c>
      <c r="B49" s="4" t="s">
        <v>37</v>
      </c>
      <c r="C49" s="4">
        <v>17</v>
      </c>
      <c r="D49" s="4"/>
    </row>
    <row r="50" spans="1:4">
      <c r="A50" s="3" t="s">
        <v>45</v>
      </c>
      <c r="B50" s="4" t="s">
        <v>36</v>
      </c>
      <c r="C50" s="6">
        <f>(C49*C48^2/4*PI())</f>
        <v>136.72211228422782</v>
      </c>
      <c r="D50" s="4"/>
    </row>
    <row r="51" spans="1:4">
      <c r="A51" s="3" t="s">
        <v>43</v>
      </c>
      <c r="B51" s="4" t="s">
        <v>44</v>
      </c>
      <c r="C51" s="6">
        <f>(C6^2+C7^2)^0.5/C50</f>
        <v>286.24756176290447</v>
      </c>
      <c r="D51" s="4" t="str">
        <f>IF(C51&lt;C52,"OK","NOT OK")</f>
        <v>OK</v>
      </c>
    </row>
    <row r="52" spans="1:4">
      <c r="A52" s="3" t="s">
        <v>46</v>
      </c>
      <c r="B52" s="4" t="s">
        <v>47</v>
      </c>
      <c r="C52" s="6">
        <f>0.17*C2</f>
        <v>1020.0000000000001</v>
      </c>
      <c r="D52" s="4"/>
    </row>
    <row r="53" spans="1:4">
      <c r="A53" s="3" t="s">
        <v>49</v>
      </c>
      <c r="B53" s="4" t="s">
        <v>48</v>
      </c>
      <c r="C53" s="6">
        <f>MIN(0.43*C2-1.8*C51,0.33*C2)</f>
        <v>1980</v>
      </c>
      <c r="D53" s="4"/>
    </row>
    <row r="54" spans="1:4">
      <c r="A54" s="3" t="s">
        <v>50</v>
      </c>
      <c r="B54" s="4" t="s">
        <v>51</v>
      </c>
      <c r="C54" s="8">
        <f>C5/C50</f>
        <v>1882.358279142012</v>
      </c>
      <c r="D54" s="4" t="str">
        <f>IF(C54&lt;C53,"OK","NOT OK")</f>
        <v>OK</v>
      </c>
    </row>
    <row r="55" spans="1:4">
      <c r="A55" s="3"/>
      <c r="B55" s="4"/>
      <c r="C55" s="5"/>
      <c r="D55" s="4"/>
    </row>
    <row r="56" spans="1:4">
      <c r="A56" s="3"/>
      <c r="B56" s="4"/>
      <c r="C56" s="5"/>
      <c r="D56" s="4"/>
    </row>
    <row r="57" spans="1:4">
      <c r="A57" s="3"/>
      <c r="B57" s="4"/>
      <c r="C57" s="5"/>
      <c r="D57" s="4"/>
    </row>
    <row r="58" spans="1:4">
      <c r="A58" s="3"/>
      <c r="B58" s="4"/>
      <c r="C58" s="5"/>
      <c r="D58" s="4"/>
    </row>
    <row r="59" spans="1:4">
      <c r="A59" s="3"/>
      <c r="B59" s="4"/>
      <c r="C59" s="5"/>
      <c r="D59" s="4"/>
    </row>
    <row r="60" spans="1:4">
      <c r="A60" s="3"/>
      <c r="B60" s="4"/>
      <c r="C60" s="5"/>
      <c r="D60" s="4"/>
    </row>
    <row r="61" spans="1:4">
      <c r="A61" s="3"/>
      <c r="B61" s="4"/>
      <c r="C61" s="5"/>
      <c r="D61" s="4"/>
    </row>
    <row r="62" spans="1:4">
      <c r="A62" s="3"/>
      <c r="B62" s="4"/>
      <c r="C62" s="5"/>
      <c r="D62" s="4"/>
    </row>
    <row r="63" spans="1:4">
      <c r="A63" s="3"/>
      <c r="B63" s="4"/>
      <c r="C63" s="5"/>
      <c r="D63" s="4"/>
    </row>
    <row r="64" spans="1:4">
      <c r="A64" s="3"/>
      <c r="B64" s="4"/>
      <c r="C64" s="5"/>
      <c r="D64" s="4"/>
    </row>
    <row r="65" spans="1:4">
      <c r="A65" s="3"/>
      <c r="B65" s="4"/>
      <c r="C65" s="5"/>
      <c r="D65" s="4"/>
    </row>
    <row r="66" spans="1:4">
      <c r="A66" s="3"/>
      <c r="B66" s="4"/>
      <c r="C66" s="5"/>
      <c r="D66" s="4"/>
    </row>
    <row r="67" spans="1:4">
      <c r="A67" s="3"/>
      <c r="B67" s="4"/>
      <c r="C67" s="5"/>
      <c r="D67" s="4"/>
    </row>
  </sheetData>
  <mergeCells count="1">
    <mergeCell ref="A46:D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rightToLeft="1" topLeftCell="A10" workbookViewId="0">
      <selection activeCell="H14" sqref="H14"/>
    </sheetView>
  </sheetViews>
  <sheetFormatPr defaultRowHeight="15"/>
  <cols>
    <col min="1" max="1" width="21.140625" customWidth="1"/>
    <col min="2" max="2" width="15.140625" customWidth="1"/>
  </cols>
  <sheetData>
    <row r="1" spans="1:4">
      <c r="A1" s="3" t="s">
        <v>9</v>
      </c>
      <c r="B1" s="15" t="s">
        <v>41</v>
      </c>
      <c r="C1" s="15">
        <v>2400</v>
      </c>
      <c r="D1" s="5"/>
    </row>
    <row r="2" spans="1:4">
      <c r="A2" s="3" t="s">
        <v>39</v>
      </c>
      <c r="B2" s="15" t="s">
        <v>40</v>
      </c>
      <c r="C2" s="15">
        <v>6000</v>
      </c>
      <c r="D2" s="5"/>
    </row>
    <row r="3" spans="1:4">
      <c r="A3" s="3" t="s">
        <v>8</v>
      </c>
      <c r="B3" s="15" t="s">
        <v>42</v>
      </c>
      <c r="C3" s="15">
        <v>250</v>
      </c>
      <c r="D3" s="5"/>
    </row>
    <row r="4" spans="1:4">
      <c r="A4" s="3" t="s">
        <v>10</v>
      </c>
      <c r="B4" s="15"/>
      <c r="C4" s="15">
        <v>306437</v>
      </c>
      <c r="D4" s="5"/>
    </row>
    <row r="5" spans="1:4">
      <c r="A5" s="3" t="s">
        <v>11</v>
      </c>
      <c r="B5" s="15"/>
      <c r="C5" s="15">
        <v>257360</v>
      </c>
      <c r="D5" s="5"/>
    </row>
    <row r="6" spans="1:4">
      <c r="A6" s="3" t="s">
        <v>6</v>
      </c>
      <c r="B6" s="15"/>
      <c r="C6" s="15">
        <v>32846</v>
      </c>
      <c r="D6" s="5"/>
    </row>
    <row r="7" spans="1:4">
      <c r="A7" s="3" t="s">
        <v>6</v>
      </c>
      <c r="B7" s="15"/>
      <c r="C7" s="15">
        <v>21279</v>
      </c>
      <c r="D7" s="5"/>
    </row>
    <row r="8" spans="1:4">
      <c r="A8" s="3" t="s">
        <v>13</v>
      </c>
      <c r="B8" s="15" t="s">
        <v>12</v>
      </c>
      <c r="C8" s="6">
        <f>0.6*C3</f>
        <v>150</v>
      </c>
      <c r="D8" s="5"/>
    </row>
    <row r="9" spans="1:4">
      <c r="A9" s="3" t="s">
        <v>14</v>
      </c>
      <c r="B9" s="15" t="s">
        <v>15</v>
      </c>
      <c r="C9" s="6">
        <f>C4/C8</f>
        <v>2042.9133333333334</v>
      </c>
      <c r="D9" s="5"/>
    </row>
    <row r="10" spans="1:4">
      <c r="A10" s="3"/>
      <c r="B10" s="15"/>
      <c r="C10" s="7"/>
      <c r="D10" s="5"/>
    </row>
    <row r="11" spans="1:4">
      <c r="A11" s="3" t="s">
        <v>18</v>
      </c>
      <c r="B11" s="15" t="s">
        <v>16</v>
      </c>
      <c r="C11" s="7">
        <v>24</v>
      </c>
      <c r="D11" s="5"/>
    </row>
    <row r="12" spans="1:4">
      <c r="A12" s="3" t="s">
        <v>19</v>
      </c>
      <c r="B12" s="15" t="s">
        <v>17</v>
      </c>
      <c r="C12" s="7">
        <v>27.2</v>
      </c>
      <c r="D12" s="5"/>
    </row>
    <row r="13" spans="1:4">
      <c r="A13" s="3" t="s">
        <v>20</v>
      </c>
      <c r="B13" s="15"/>
      <c r="C13" s="15">
        <v>45</v>
      </c>
      <c r="D13" s="5"/>
    </row>
    <row r="14" spans="1:4">
      <c r="A14" s="3" t="s">
        <v>21</v>
      </c>
      <c r="B14" s="15"/>
      <c r="C14" s="15">
        <v>90</v>
      </c>
      <c r="D14" s="5"/>
    </row>
    <row r="15" spans="1:4">
      <c r="A15" s="3" t="s">
        <v>52</v>
      </c>
      <c r="B15" s="15"/>
      <c r="C15" s="15">
        <v>15</v>
      </c>
      <c r="D15" s="5"/>
    </row>
    <row r="16" spans="1:4">
      <c r="A16" s="3" t="s">
        <v>53</v>
      </c>
      <c r="B16" s="15" t="s">
        <v>54</v>
      </c>
      <c r="C16" s="6">
        <f>C13/2-C15</f>
        <v>7.5</v>
      </c>
      <c r="D16" s="5"/>
    </row>
    <row r="17" spans="1:4">
      <c r="A17" s="3" t="s">
        <v>55</v>
      </c>
      <c r="B17" s="15" t="s">
        <v>56</v>
      </c>
      <c r="C17" s="6">
        <f>C13/6</f>
        <v>7.5</v>
      </c>
      <c r="D17" s="5"/>
    </row>
    <row r="18" spans="1:4">
      <c r="A18" s="3" t="s">
        <v>24</v>
      </c>
      <c r="B18" s="15"/>
      <c r="C18" s="6">
        <f>(C14-0.95*C12)/2</f>
        <v>32.08</v>
      </c>
      <c r="D18" s="5"/>
    </row>
    <row r="19" spans="1:4">
      <c r="A19" s="3" t="s">
        <v>25</v>
      </c>
      <c r="B19" s="15"/>
      <c r="C19" s="6">
        <f>(C13-0.8*C11)/2</f>
        <v>12.899999999999999</v>
      </c>
      <c r="D19" s="5"/>
    </row>
    <row r="20" spans="1:4">
      <c r="A20" s="3" t="s">
        <v>26</v>
      </c>
      <c r="B20" s="15"/>
      <c r="C20" s="15">
        <v>100000</v>
      </c>
      <c r="D20" s="5"/>
    </row>
    <row r="21" spans="1:4">
      <c r="A21" s="3" t="s">
        <v>13</v>
      </c>
      <c r="B21" s="15"/>
      <c r="C21" s="6">
        <f>MIN(C8,0.6*(C20/C13/C14)^0.5*C3)</f>
        <v>150</v>
      </c>
      <c r="D21" s="5"/>
    </row>
    <row r="22" spans="1:4">
      <c r="A22" s="3" t="s">
        <v>57</v>
      </c>
      <c r="B22" s="15" t="s">
        <v>58</v>
      </c>
      <c r="C22" s="6">
        <f>C4/C13/C14*(1+6*C16/C13)</f>
        <v>151.3269135802469</v>
      </c>
      <c r="D22" s="15" t="str">
        <f>IF(C22&lt;C21,"OK","NOT OK")</f>
        <v>NOT OK</v>
      </c>
    </row>
    <row r="23" spans="1:4">
      <c r="A23" s="3" t="s">
        <v>61</v>
      </c>
      <c r="B23" s="15" t="s">
        <v>59</v>
      </c>
      <c r="C23" s="6">
        <f>C4/C14/C13*(1-6*C16/C13)</f>
        <v>0</v>
      </c>
      <c r="D23" s="15"/>
    </row>
    <row r="24" spans="1:4">
      <c r="A24" s="3" t="s">
        <v>62</v>
      </c>
      <c r="B24" s="15" t="s">
        <v>60</v>
      </c>
      <c r="C24" s="6">
        <f>C4/(C14*C13)+(C4*C16*(C13/2-C19))/((C14*C13^3)/12)</f>
        <v>107.94653168724281</v>
      </c>
      <c r="D24" s="15"/>
    </row>
    <row r="25" spans="1:4">
      <c r="A25" s="3"/>
      <c r="B25" s="15"/>
      <c r="C25" s="5"/>
      <c r="D25" s="5"/>
    </row>
    <row r="26" spans="1:4">
      <c r="A26" s="3"/>
      <c r="B26" s="15"/>
      <c r="C26" s="5"/>
      <c r="D26" s="5"/>
    </row>
    <row r="27" spans="1:4">
      <c r="A27" s="3" t="s">
        <v>29</v>
      </c>
      <c r="B27" s="15"/>
      <c r="C27" s="6">
        <f>((C22+C23)*C13*C18^2)/4</f>
        <v>1752013.3702044438</v>
      </c>
      <c r="D27" s="5"/>
    </row>
    <row r="28" spans="1:4">
      <c r="A28" s="3" t="s">
        <v>7</v>
      </c>
      <c r="B28" s="15"/>
      <c r="C28" s="15">
        <v>4</v>
      </c>
      <c r="D28" s="15"/>
    </row>
    <row r="29" spans="1:4">
      <c r="A29" s="3" t="s">
        <v>31</v>
      </c>
      <c r="B29" s="15"/>
      <c r="C29" s="15">
        <v>1.4</v>
      </c>
      <c r="D29" s="15"/>
    </row>
    <row r="30" spans="1:4">
      <c r="A30" s="3" t="s">
        <v>0</v>
      </c>
      <c r="B30" s="15"/>
      <c r="C30" s="15">
        <v>25</v>
      </c>
      <c r="D30" s="15"/>
    </row>
    <row r="31" spans="1:4">
      <c r="A31" s="3" t="s">
        <v>1</v>
      </c>
      <c r="B31" s="15"/>
      <c r="C31" s="6">
        <f>C13</f>
        <v>45</v>
      </c>
      <c r="D31" s="15"/>
    </row>
    <row r="32" spans="1:4">
      <c r="A32" s="3" t="s">
        <v>2</v>
      </c>
      <c r="B32" s="15" t="s">
        <v>34</v>
      </c>
      <c r="C32" s="15">
        <v>2</v>
      </c>
      <c r="D32" s="15"/>
    </row>
    <row r="33" spans="1:4">
      <c r="A33" s="3" t="s">
        <v>3</v>
      </c>
      <c r="B33" s="15"/>
      <c r="C33" s="6">
        <f>(C28*C30*C29*((C30/2)+C32)+C31*C32*C32/2)/(C31*C32+C28*C30*C29)</f>
        <v>9.2173913043478262</v>
      </c>
      <c r="D33" s="15"/>
    </row>
    <row r="34" spans="1:4">
      <c r="A34" s="3" t="s">
        <v>4</v>
      </c>
      <c r="B34" s="15" t="s">
        <v>32</v>
      </c>
      <c r="C34" s="6">
        <f>C28*((C29*C30^3/12)+C29*C30*(C30/2+C32-C33)^2)+C31*C32^3/12+C31*C32*(C33-C32/2)^2</f>
        <v>17305.797101449276</v>
      </c>
      <c r="D34" s="15"/>
    </row>
    <row r="35" spans="1:4">
      <c r="A35" s="3" t="s">
        <v>5</v>
      </c>
      <c r="B35" s="15" t="s">
        <v>33</v>
      </c>
      <c r="C35" s="6">
        <f>C27*(C30+C32-C33)/C34</f>
        <v>1800.2850726411959</v>
      </c>
      <c r="D35" s="15" t="str">
        <f>IF(C35&lt;1800,"OK","NOT OK")</f>
        <v>NOT OK</v>
      </c>
    </row>
    <row r="36" spans="1:4">
      <c r="A36" s="3"/>
      <c r="B36" s="15"/>
      <c r="C36" s="15"/>
      <c r="D36" s="15"/>
    </row>
    <row r="37" spans="1:4">
      <c r="A37" s="3" t="s">
        <v>30</v>
      </c>
      <c r="B37" s="15"/>
      <c r="C37" s="6">
        <f>(C24*C14*C19^2)/2+(C22-C24)*C14*C19^2/3</f>
        <v>1024920.0857377775</v>
      </c>
      <c r="D37" s="5"/>
    </row>
    <row r="38" spans="1:4">
      <c r="A38" s="3" t="s">
        <v>7</v>
      </c>
      <c r="B38" s="15"/>
      <c r="C38" s="15">
        <v>2</v>
      </c>
      <c r="D38" s="15"/>
    </row>
    <row r="39" spans="1:4">
      <c r="A39" s="3" t="s">
        <v>31</v>
      </c>
      <c r="B39" s="15"/>
      <c r="C39" s="15">
        <v>1.4</v>
      </c>
      <c r="D39" s="15"/>
    </row>
    <row r="40" spans="1:4">
      <c r="A40" s="3" t="s">
        <v>0</v>
      </c>
      <c r="B40" s="15"/>
      <c r="C40" s="15">
        <v>25</v>
      </c>
      <c r="D40" s="15"/>
    </row>
    <row r="41" spans="1:4">
      <c r="A41" s="3" t="s">
        <v>1</v>
      </c>
      <c r="B41" s="15"/>
      <c r="C41" s="6">
        <f>C14</f>
        <v>90</v>
      </c>
      <c r="D41" s="15"/>
    </row>
    <row r="42" spans="1:4">
      <c r="A42" s="3" t="s">
        <v>2</v>
      </c>
      <c r="B42" s="15" t="s">
        <v>34</v>
      </c>
      <c r="C42" s="15">
        <v>2</v>
      </c>
      <c r="D42" s="15"/>
    </row>
    <row r="43" spans="1:4">
      <c r="A43" s="3" t="s">
        <v>3</v>
      </c>
      <c r="B43" s="15"/>
      <c r="C43" s="6">
        <f>(C38*C40*C39*((C40/2)+C42)+C41*C42*C42/2)/(C41*C42+C38*C40*C39)</f>
        <v>4.78</v>
      </c>
      <c r="D43" s="15"/>
    </row>
    <row r="44" spans="1:4">
      <c r="A44" s="3" t="s">
        <v>4</v>
      </c>
      <c r="B44" s="15" t="s">
        <v>32</v>
      </c>
      <c r="C44" s="6">
        <f>C38*((C39*C40^3/12)+C39*C40*(C40/2+C42-C43)^2)+C41*C42^3/12+C41*C42*(C43-C42/2)^2</f>
        <v>12891.233333333332</v>
      </c>
      <c r="D44" s="15"/>
    </row>
    <row r="45" spans="1:4">
      <c r="A45" s="3" t="s">
        <v>5</v>
      </c>
      <c r="B45" s="15" t="s">
        <v>33</v>
      </c>
      <c r="C45" s="6">
        <f>C37*(C40+C42-C43)/C44</f>
        <v>1766.6055462828811</v>
      </c>
      <c r="D45" s="15" t="str">
        <f>IF(C45&lt;1800,"OK","NOT OK")</f>
        <v>OK</v>
      </c>
    </row>
    <row r="46" spans="1:4">
      <c r="A46" s="48"/>
      <c r="B46" s="49"/>
      <c r="C46" s="49"/>
      <c r="D46" s="50"/>
    </row>
    <row r="47" spans="1:4" ht="30">
      <c r="A47" s="14" t="s">
        <v>64</v>
      </c>
      <c r="B47" s="15" t="s">
        <v>36</v>
      </c>
      <c r="C47" s="6">
        <f>C5/0.33/C2</f>
        <v>129.97979797979798</v>
      </c>
      <c r="D47" s="15"/>
    </row>
    <row r="48" spans="1:4">
      <c r="A48" s="3" t="s">
        <v>38</v>
      </c>
      <c r="B48" s="15" t="s">
        <v>17</v>
      </c>
      <c r="C48" s="15">
        <v>3.2</v>
      </c>
      <c r="D48" s="15"/>
    </row>
    <row r="49" spans="1:4">
      <c r="A49" s="3" t="s">
        <v>63</v>
      </c>
      <c r="B49" s="15" t="s">
        <v>37</v>
      </c>
      <c r="C49" s="15">
        <v>17</v>
      </c>
      <c r="D49" s="15"/>
    </row>
    <row r="50" spans="1:4">
      <c r="A50" s="3" t="s">
        <v>45</v>
      </c>
      <c r="B50" s="15" t="s">
        <v>36</v>
      </c>
      <c r="C50" s="6">
        <f>(C49*C48^2/4*PI())</f>
        <v>136.72211228422782</v>
      </c>
      <c r="D50" s="15"/>
    </row>
    <row r="51" spans="1:4">
      <c r="A51" s="3" t="s">
        <v>43</v>
      </c>
      <c r="B51" s="15" t="s">
        <v>44</v>
      </c>
      <c r="C51" s="6">
        <f>(C6^2+C7^2)^0.5/C50</f>
        <v>286.24756176290447</v>
      </c>
      <c r="D51" s="15" t="str">
        <f>IF(C51&lt;C52,"OK","NOT OK")</f>
        <v>OK</v>
      </c>
    </row>
    <row r="52" spans="1:4">
      <c r="A52" s="3" t="s">
        <v>46</v>
      </c>
      <c r="B52" s="15" t="s">
        <v>47</v>
      </c>
      <c r="C52" s="6">
        <f>0.17*C2</f>
        <v>1020.0000000000001</v>
      </c>
      <c r="D52" s="15"/>
    </row>
    <row r="53" spans="1:4">
      <c r="A53" s="3" t="s">
        <v>49</v>
      </c>
      <c r="B53" s="15" t="s">
        <v>48</v>
      </c>
      <c r="C53" s="6">
        <f>MIN(0.43*C2-1.8*C51,0.33*C2)</f>
        <v>1980</v>
      </c>
      <c r="D53" s="15"/>
    </row>
    <row r="54" spans="1:4">
      <c r="A54" s="3" t="s">
        <v>50</v>
      </c>
      <c r="B54" s="15" t="s">
        <v>51</v>
      </c>
      <c r="C54" s="8">
        <f>C5/C50</f>
        <v>1882.358279142012</v>
      </c>
      <c r="D54" s="15" t="str">
        <f>IF(C54&lt;C53,"OK","NOT OK")</f>
        <v>OK</v>
      </c>
    </row>
    <row r="55" spans="1:4">
      <c r="A55" s="3"/>
      <c r="B55" s="15"/>
      <c r="C55" s="5"/>
      <c r="D55" s="15"/>
    </row>
    <row r="56" spans="1:4">
      <c r="A56" s="3"/>
      <c r="B56" s="15"/>
      <c r="C56" s="5"/>
      <c r="D56" s="15"/>
    </row>
    <row r="57" spans="1:4">
      <c r="A57" s="3"/>
      <c r="B57" s="15"/>
      <c r="C57" s="5"/>
      <c r="D57" s="15"/>
    </row>
    <row r="58" spans="1:4">
      <c r="A58" s="3"/>
      <c r="B58" s="15"/>
      <c r="C58" s="5"/>
      <c r="D58" s="15"/>
    </row>
    <row r="59" spans="1:4">
      <c r="A59" s="3"/>
      <c r="B59" s="15"/>
      <c r="C59" s="5"/>
      <c r="D59" s="15"/>
    </row>
    <row r="60" spans="1:4">
      <c r="A60" s="3"/>
      <c r="B60" s="15"/>
      <c r="C60" s="5"/>
      <c r="D60" s="15"/>
    </row>
    <row r="61" spans="1:4">
      <c r="A61" s="3"/>
      <c r="B61" s="15"/>
      <c r="C61" s="5"/>
      <c r="D61" s="15"/>
    </row>
    <row r="62" spans="1:4">
      <c r="A62" s="3"/>
      <c r="B62" s="15"/>
      <c r="C62" s="5"/>
      <c r="D62" s="15"/>
    </row>
    <row r="63" spans="1:4">
      <c r="A63" s="3"/>
      <c r="B63" s="15"/>
      <c r="C63" s="5"/>
      <c r="D63" s="15"/>
    </row>
    <row r="64" spans="1:4">
      <c r="A64" s="3"/>
      <c r="B64" s="15"/>
      <c r="C64" s="5"/>
      <c r="D64" s="15"/>
    </row>
    <row r="65" spans="1:4">
      <c r="A65" s="3"/>
      <c r="B65" s="15"/>
      <c r="C65" s="5"/>
      <c r="D65" s="15"/>
    </row>
    <row r="66" spans="1:4">
      <c r="A66" s="3"/>
      <c r="B66" s="15"/>
      <c r="C66" s="5"/>
      <c r="D66" s="15"/>
    </row>
    <row r="67" spans="1:4">
      <c r="A67" s="3"/>
      <c r="B67" s="15"/>
      <c r="C67" s="5"/>
      <c r="D67" s="15"/>
    </row>
  </sheetData>
  <mergeCells count="1">
    <mergeCell ref="A46:D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rightToLeft="1" tabSelected="1" topLeftCell="A5" zoomScaleNormal="100" workbookViewId="0">
      <selection activeCell="J21" sqref="J21"/>
    </sheetView>
  </sheetViews>
  <sheetFormatPr defaultRowHeight="18"/>
  <cols>
    <col min="1" max="1" width="9" style="25"/>
    <col min="2" max="2" width="21.85546875" style="26" customWidth="1"/>
    <col min="3" max="3" width="5.7109375" customWidth="1"/>
    <col min="5" max="5" width="13.5703125" style="1" customWidth="1"/>
    <col min="6" max="6" width="12.85546875" style="16" customWidth="1"/>
    <col min="13" max="13" width="8.140625" customWidth="1"/>
    <col min="15" max="15" width="9.140625" style="21"/>
  </cols>
  <sheetData>
    <row r="1" spans="1:16" ht="27.75">
      <c r="A1" s="53" t="s">
        <v>85</v>
      </c>
      <c r="B1" s="54"/>
      <c r="C1" s="54"/>
      <c r="D1" s="54"/>
      <c r="E1" s="54"/>
      <c r="F1" s="55"/>
      <c r="H1" s="28" t="s">
        <v>142</v>
      </c>
      <c r="I1" s="28" t="s">
        <v>88</v>
      </c>
      <c r="J1" s="44" t="s">
        <v>120</v>
      </c>
      <c r="K1" s="44" t="s">
        <v>121</v>
      </c>
      <c r="L1" s="45" t="s">
        <v>143</v>
      </c>
      <c r="N1" s="47" t="s">
        <v>116</v>
      </c>
      <c r="O1" s="28" t="s">
        <v>114</v>
      </c>
      <c r="P1" s="28" t="s">
        <v>115</v>
      </c>
    </row>
    <row r="2" spans="1:16" ht="22.5" customHeight="1">
      <c r="A2" s="52" t="s">
        <v>68</v>
      </c>
      <c r="B2" s="52"/>
      <c r="C2" s="52"/>
      <c r="D2" s="52"/>
      <c r="E2" s="52"/>
      <c r="F2" s="52"/>
      <c r="H2" s="46">
        <v>14</v>
      </c>
      <c r="I2" s="46">
        <v>16.399999999999999</v>
      </c>
      <c r="J2" s="46">
        <v>12.9</v>
      </c>
      <c r="K2" s="46">
        <v>541</v>
      </c>
      <c r="L2" s="46">
        <v>88.3</v>
      </c>
      <c r="N2" s="46">
        <v>3</v>
      </c>
      <c r="O2" s="46">
        <v>0.5</v>
      </c>
      <c r="P2" s="46">
        <v>0.7</v>
      </c>
    </row>
    <row r="3" spans="1:16">
      <c r="A3" s="51" t="s">
        <v>65</v>
      </c>
      <c r="B3" s="51"/>
      <c r="C3" s="38" t="s">
        <v>42</v>
      </c>
      <c r="D3" s="36" t="s">
        <v>66</v>
      </c>
      <c r="E3" s="20">
        <v>250</v>
      </c>
      <c r="F3" s="22"/>
      <c r="H3" s="46">
        <v>16</v>
      </c>
      <c r="I3" s="46">
        <v>20.100000000000001</v>
      </c>
      <c r="J3" s="46">
        <v>15.8</v>
      </c>
      <c r="K3" s="46">
        <v>869</v>
      </c>
      <c r="L3" s="46">
        <v>124</v>
      </c>
      <c r="N3" s="46">
        <v>4</v>
      </c>
      <c r="O3" s="46">
        <v>0.5</v>
      </c>
      <c r="P3" s="46">
        <v>0.7</v>
      </c>
    </row>
    <row r="4" spans="1:16">
      <c r="A4" s="51" t="s">
        <v>117</v>
      </c>
      <c r="B4" s="51"/>
      <c r="C4" s="38" t="s">
        <v>111</v>
      </c>
      <c r="D4" s="36"/>
      <c r="E4" s="20">
        <v>200000</v>
      </c>
      <c r="F4" s="22"/>
      <c r="H4" s="46">
        <v>18</v>
      </c>
      <c r="I4" s="46">
        <v>23.9</v>
      </c>
      <c r="J4" s="46">
        <v>18.8</v>
      </c>
      <c r="K4" s="46">
        <v>1320</v>
      </c>
      <c r="L4" s="46">
        <v>166</v>
      </c>
      <c r="N4" s="46">
        <v>5</v>
      </c>
      <c r="O4" s="46">
        <v>0.5</v>
      </c>
      <c r="P4" s="46">
        <v>0.7</v>
      </c>
    </row>
    <row r="5" spans="1:16">
      <c r="A5" s="51" t="s">
        <v>9</v>
      </c>
      <c r="B5" s="51"/>
      <c r="C5" s="38" t="s">
        <v>41</v>
      </c>
      <c r="D5" s="36" t="s">
        <v>66</v>
      </c>
      <c r="E5" s="20">
        <v>2400</v>
      </c>
      <c r="F5" s="22"/>
      <c r="H5" s="46">
        <v>20</v>
      </c>
      <c r="I5" s="46">
        <v>28.5</v>
      </c>
      <c r="J5" s="46">
        <v>22.4</v>
      </c>
      <c r="K5" s="46">
        <v>1940</v>
      </c>
      <c r="L5" s="46">
        <v>221</v>
      </c>
      <c r="N5" s="46">
        <v>6</v>
      </c>
      <c r="O5" s="46">
        <v>0.6</v>
      </c>
      <c r="P5" s="46">
        <v>0.6</v>
      </c>
    </row>
    <row r="6" spans="1:16">
      <c r="A6" s="51" t="s">
        <v>118</v>
      </c>
      <c r="B6" s="51"/>
      <c r="C6" s="38" t="s">
        <v>112</v>
      </c>
      <c r="D6" s="43"/>
      <c r="E6" s="20">
        <v>2100000</v>
      </c>
      <c r="F6" s="22"/>
      <c r="H6" s="46">
        <v>22</v>
      </c>
      <c r="I6" s="46">
        <v>33.4</v>
      </c>
      <c r="J6" s="46">
        <v>26.2</v>
      </c>
      <c r="K6" s="46">
        <v>2770</v>
      </c>
      <c r="L6" s="46">
        <v>285</v>
      </c>
      <c r="N6" s="46">
        <v>8</v>
      </c>
      <c r="O6" s="46">
        <v>0.6</v>
      </c>
      <c r="P6" s="46">
        <v>0.8</v>
      </c>
    </row>
    <row r="7" spans="1:16" ht="22.5">
      <c r="A7" s="52" t="s">
        <v>71</v>
      </c>
      <c r="B7" s="52"/>
      <c r="C7" s="52"/>
      <c r="D7" s="52"/>
      <c r="E7" s="52"/>
      <c r="F7" s="52"/>
      <c r="H7" s="46">
        <v>24</v>
      </c>
      <c r="I7" s="46">
        <v>39.1</v>
      </c>
      <c r="J7" s="46">
        <v>30.7</v>
      </c>
      <c r="K7" s="46">
        <v>3890</v>
      </c>
      <c r="L7" s="46">
        <v>367</v>
      </c>
      <c r="N7" s="46">
        <v>10</v>
      </c>
      <c r="O7" s="46">
        <v>0.6</v>
      </c>
      <c r="P7" s="46">
        <v>0.85</v>
      </c>
    </row>
    <row r="8" spans="1:16">
      <c r="A8" s="51" t="s">
        <v>91</v>
      </c>
      <c r="B8" s="51"/>
      <c r="C8" s="38" t="s">
        <v>80</v>
      </c>
      <c r="D8" s="36" t="s">
        <v>73</v>
      </c>
      <c r="E8" s="20">
        <v>200</v>
      </c>
      <c r="F8" s="22"/>
      <c r="H8" s="46">
        <v>27</v>
      </c>
      <c r="I8" s="46">
        <v>45.9</v>
      </c>
      <c r="J8" s="46">
        <v>36.1</v>
      </c>
      <c r="K8" s="46">
        <v>5790</v>
      </c>
      <c r="L8" s="46">
        <v>484</v>
      </c>
    </row>
    <row r="9" spans="1:16">
      <c r="A9" s="51" t="s">
        <v>124</v>
      </c>
      <c r="B9" s="51"/>
      <c r="C9" s="38" t="s">
        <v>81</v>
      </c>
      <c r="D9" s="36" t="s">
        <v>73</v>
      </c>
      <c r="E9" s="20">
        <v>80</v>
      </c>
      <c r="F9" s="22"/>
      <c r="H9" s="46">
        <v>30</v>
      </c>
      <c r="I9" s="46">
        <v>53.8</v>
      </c>
      <c r="J9" s="46">
        <v>42.2</v>
      </c>
      <c r="K9" s="46">
        <v>8360</v>
      </c>
      <c r="L9" s="46">
        <v>628</v>
      </c>
    </row>
    <row r="10" spans="1:16">
      <c r="A10" s="51" t="s">
        <v>98</v>
      </c>
      <c r="B10" s="51"/>
      <c r="C10" s="38" t="s">
        <v>95</v>
      </c>
      <c r="D10" s="36" t="s">
        <v>99</v>
      </c>
      <c r="E10" s="28">
        <f>IF(E16=H2,J2,IF(E16=H3,J3,IF(E16=H4,J4,IF(E16=H5,J5,IF(E16=H6,J6,IF(E16=H7,J7,IF(E16=H8,J8,IF(E16=H9,J9,0))))))))</f>
        <v>30.7</v>
      </c>
      <c r="F10" s="22"/>
    </row>
    <row r="11" spans="1:16">
      <c r="A11" s="51" t="s">
        <v>125</v>
      </c>
      <c r="B11" s="51"/>
      <c r="C11" s="38" t="s">
        <v>82</v>
      </c>
      <c r="D11" s="36" t="s">
        <v>73</v>
      </c>
      <c r="E11" s="19">
        <v>500</v>
      </c>
      <c r="F11" s="22"/>
    </row>
    <row r="12" spans="1:16">
      <c r="A12" s="51" t="s">
        <v>72</v>
      </c>
      <c r="B12" s="51"/>
      <c r="C12" s="38" t="s">
        <v>83</v>
      </c>
      <c r="D12" s="36" t="s">
        <v>73</v>
      </c>
      <c r="E12" s="19">
        <v>500</v>
      </c>
      <c r="F12" s="22"/>
    </row>
    <row r="13" spans="1:16" ht="22.5">
      <c r="A13" s="52" t="s">
        <v>70</v>
      </c>
      <c r="B13" s="52"/>
      <c r="C13" s="52"/>
      <c r="D13" s="52"/>
      <c r="E13" s="52"/>
      <c r="F13" s="52"/>
    </row>
    <row r="14" spans="1:16">
      <c r="A14" s="51" t="s">
        <v>79</v>
      </c>
      <c r="B14" s="51"/>
      <c r="C14" s="38" t="s">
        <v>89</v>
      </c>
      <c r="D14" s="36" t="s">
        <v>67</v>
      </c>
      <c r="E14" s="20">
        <v>10</v>
      </c>
      <c r="F14" s="22"/>
    </row>
    <row r="15" spans="1:16">
      <c r="A15" s="51" t="s">
        <v>86</v>
      </c>
      <c r="B15" s="51"/>
      <c r="C15" s="38"/>
      <c r="D15" s="36" t="s">
        <v>67</v>
      </c>
      <c r="E15" s="20">
        <v>836</v>
      </c>
      <c r="F15" s="22"/>
    </row>
    <row r="16" spans="1:16">
      <c r="A16" s="51" t="s">
        <v>90</v>
      </c>
      <c r="B16" s="51"/>
      <c r="C16" s="38" t="s">
        <v>87</v>
      </c>
      <c r="D16" s="36" t="s">
        <v>67</v>
      </c>
      <c r="E16" s="20">
        <v>24</v>
      </c>
      <c r="F16" s="22"/>
    </row>
    <row r="17" spans="1:22">
      <c r="A17" s="51" t="s">
        <v>92</v>
      </c>
      <c r="B17" s="51"/>
      <c r="C17" s="38" t="s">
        <v>36</v>
      </c>
      <c r="D17" s="36" t="s">
        <v>76</v>
      </c>
      <c r="E17" s="28">
        <f>IF(E16=H2,I2,IF(E16=H3,I3,IF(E16=H4,I4,IF(E16=H5,I5,IF(E16=H6,I6,IF(E16=H7,I7,IF(E16=H8,I8,IF(E16=H9,I9,0))))))))</f>
        <v>39.1</v>
      </c>
      <c r="F17" s="22"/>
    </row>
    <row r="18" spans="1:22">
      <c r="A18" s="51" t="s">
        <v>69</v>
      </c>
      <c r="B18" s="51"/>
      <c r="C18" s="38" t="s">
        <v>78</v>
      </c>
      <c r="D18" s="36" t="s">
        <v>67</v>
      </c>
      <c r="E18" s="18">
        <v>110</v>
      </c>
      <c r="F18" s="22"/>
    </row>
    <row r="19" spans="1:22">
      <c r="A19" s="51" t="s">
        <v>93</v>
      </c>
      <c r="B19" s="51"/>
      <c r="C19" s="38" t="s">
        <v>94</v>
      </c>
      <c r="D19" s="36" t="s">
        <v>67</v>
      </c>
      <c r="E19" s="31">
        <f>E5*E17/E3/0.85/E18</f>
        <v>4.0145454545454546</v>
      </c>
      <c r="F19" s="22"/>
    </row>
    <row r="20" spans="1:22" ht="22.5">
      <c r="A20" s="52" t="s">
        <v>74</v>
      </c>
      <c r="B20" s="52"/>
      <c r="C20" s="52"/>
      <c r="D20" s="52"/>
      <c r="E20" s="52"/>
      <c r="F20" s="52"/>
    </row>
    <row r="21" spans="1:22">
      <c r="A21" s="51" t="s">
        <v>135</v>
      </c>
      <c r="B21" s="51"/>
      <c r="C21" s="38"/>
      <c r="D21" s="36" t="s">
        <v>75</v>
      </c>
      <c r="E21" s="32">
        <f>(((1.25*E8+1.5*E9)*E18/100)+1.25*E10)*(E15/100)^2/8</f>
        <v>3890.8850749999992</v>
      </c>
      <c r="F21" s="29"/>
    </row>
    <row r="22" spans="1:22">
      <c r="A22" s="51" t="s">
        <v>136</v>
      </c>
      <c r="B22" s="51"/>
      <c r="C22" s="36" t="s">
        <v>119</v>
      </c>
      <c r="D22" s="36" t="s">
        <v>75</v>
      </c>
      <c r="E22" s="32">
        <f>(1.5*E11+1.25*E12)*E18/100*(E15/100)^2/8</f>
        <v>13213.502499999997</v>
      </c>
      <c r="F22" s="22"/>
    </row>
    <row r="23" spans="1:22" ht="20.25" customHeight="1">
      <c r="A23" s="56" t="s">
        <v>133</v>
      </c>
      <c r="B23" s="56"/>
      <c r="C23" s="36"/>
      <c r="D23" s="36" t="s">
        <v>75</v>
      </c>
      <c r="E23" s="32">
        <f>(((E8+E9)*E18/100)+E10)*(E15/100)^2/8</f>
        <v>2958.9509399999993</v>
      </c>
      <c r="F23" s="22"/>
    </row>
    <row r="24" spans="1:22">
      <c r="A24" s="56" t="s">
        <v>134</v>
      </c>
      <c r="B24" s="56"/>
      <c r="C24" s="38"/>
      <c r="D24" s="36" t="s">
        <v>75</v>
      </c>
      <c r="E24" s="32">
        <f>(E11+E12)*E18/100*(E15/100)^2/8</f>
        <v>9609.8199999999979</v>
      </c>
      <c r="F24" s="22"/>
    </row>
    <row r="25" spans="1:22" ht="22.5">
      <c r="A25" s="58" t="s">
        <v>96</v>
      </c>
      <c r="B25" s="58"/>
      <c r="C25" s="58"/>
      <c r="D25" s="58"/>
      <c r="E25" s="58"/>
      <c r="F25" s="58"/>
      <c r="U25" s="17"/>
      <c r="V25" s="17"/>
    </row>
    <row r="26" spans="1:22" ht="33.75" customHeight="1">
      <c r="A26" s="56" t="s">
        <v>130</v>
      </c>
      <c r="B26" s="56"/>
      <c r="C26" s="40"/>
      <c r="D26" s="36" t="s">
        <v>75</v>
      </c>
      <c r="E26" s="32">
        <f>(IF(E16=H2,L2,IF(E16=H3,L3,IF(E16=H4,L4,IF(E16=H5,L5,IF(E16=H6,L6,IF(E16=H7,L7,IF(E16=H8,L8,IF(E16=H9,L9,0)))))))))*E5/100</f>
        <v>8808</v>
      </c>
      <c r="F26" s="42" t="str">
        <f>IF(0.9*E26&gt;E21,"ok","Not ok")</f>
        <v>ok</v>
      </c>
      <c r="U26" s="17"/>
      <c r="V26" s="17"/>
    </row>
    <row r="27" spans="1:22" ht="33.75" customHeight="1">
      <c r="A27" s="56" t="s">
        <v>100</v>
      </c>
      <c r="B27" s="56"/>
      <c r="C27" s="40" t="s">
        <v>97</v>
      </c>
      <c r="D27" s="36" t="s">
        <v>75</v>
      </c>
      <c r="E27" s="32">
        <f>E17*E5*(E16/2+E14-E19/2)/100</f>
        <v>18761.175272727272</v>
      </c>
      <c r="F27" s="42" t="str">
        <f>IF(0.9*E27&gt;E22,"ok","Not ok")</f>
        <v>ok</v>
      </c>
      <c r="U27" s="17"/>
      <c r="V27" s="17"/>
    </row>
    <row r="28" spans="1:22" ht="22.5">
      <c r="A28" s="52" t="s">
        <v>101</v>
      </c>
      <c r="B28" s="52"/>
      <c r="C28" s="52"/>
      <c r="D28" s="52"/>
      <c r="E28" s="52"/>
      <c r="F28" s="52"/>
      <c r="U28" s="30"/>
      <c r="V28" s="17"/>
    </row>
    <row r="29" spans="1:22">
      <c r="A29" s="51" t="s">
        <v>102</v>
      </c>
      <c r="B29" s="51"/>
      <c r="C29" s="38"/>
      <c r="D29" s="36" t="s">
        <v>67</v>
      </c>
      <c r="E29" s="19">
        <v>5</v>
      </c>
      <c r="F29" s="40"/>
      <c r="U29" s="17"/>
      <c r="V29" s="17"/>
    </row>
    <row r="30" spans="1:22">
      <c r="A30" s="56" t="s">
        <v>131</v>
      </c>
      <c r="B30" s="56"/>
      <c r="C30" s="36" t="s">
        <v>132</v>
      </c>
      <c r="D30" s="36" t="s">
        <v>67</v>
      </c>
      <c r="E30" s="20">
        <v>5</v>
      </c>
      <c r="F30" s="39"/>
    </row>
    <row r="31" spans="1:22">
      <c r="A31" s="51" t="s">
        <v>105</v>
      </c>
      <c r="B31" s="51"/>
      <c r="C31" s="38" t="s">
        <v>104</v>
      </c>
      <c r="D31" s="36" t="s">
        <v>67</v>
      </c>
      <c r="E31" s="28">
        <f>IF(E29=N2,O2,IF(E29=N3,O3,IF(E29=N4,O4,IF(E29=N5,O5,IF(E29=N6,O6,IF(E29=N7,O7,0))))))</f>
        <v>0.5</v>
      </c>
      <c r="F31" s="40"/>
    </row>
    <row r="32" spans="1:22">
      <c r="A32" s="51" t="s">
        <v>106</v>
      </c>
      <c r="B32" s="51"/>
      <c r="C32" s="38" t="s">
        <v>103</v>
      </c>
      <c r="D32" s="36" t="s">
        <v>67</v>
      </c>
      <c r="E32" s="28">
        <f>IF(E29=N2,P2,IF(E29=N3,P3,IF(E29=N4,P4,IF(E29=N5,P5,IF(E29=N6,P6,IF(E29=N7,P7,0))))))</f>
        <v>0.7</v>
      </c>
      <c r="F32" s="40"/>
    </row>
    <row r="33" spans="1:8">
      <c r="A33" s="57" t="s">
        <v>107</v>
      </c>
      <c r="B33" s="57"/>
      <c r="C33" s="41" t="s">
        <v>108</v>
      </c>
      <c r="D33" s="41" t="s">
        <v>84</v>
      </c>
      <c r="E33" s="32">
        <f>MIN(0.85*E3*E18*E14,E17*E5)</f>
        <v>93840</v>
      </c>
      <c r="F33" s="40"/>
    </row>
    <row r="34" spans="1:8">
      <c r="A34" s="51" t="s">
        <v>109</v>
      </c>
      <c r="B34" s="51"/>
      <c r="C34" s="38" t="s">
        <v>110</v>
      </c>
      <c r="D34" s="41" t="s">
        <v>84</v>
      </c>
      <c r="E34" s="32">
        <f>0.3*(E32+0.5*E31)*E30*(E3*E4)^0.5</f>
        <v>10076.271631908301</v>
      </c>
      <c r="F34" s="40"/>
    </row>
    <row r="35" spans="1:8">
      <c r="A35" s="56" t="s">
        <v>113</v>
      </c>
      <c r="B35" s="56"/>
      <c r="C35" s="36" t="s">
        <v>25</v>
      </c>
      <c r="D35" s="36"/>
      <c r="E35" s="32">
        <f>MAX(E33/E34,(E15/8/E14)/2)</f>
        <v>9.312968469690615</v>
      </c>
      <c r="F35" s="40"/>
    </row>
    <row r="36" spans="1:8" ht="22.5">
      <c r="A36" s="52" t="s">
        <v>122</v>
      </c>
      <c r="B36" s="52"/>
      <c r="C36" s="52"/>
      <c r="D36" s="52"/>
      <c r="E36" s="52"/>
      <c r="F36" s="52"/>
      <c r="G36" s="17"/>
      <c r="H36" s="17"/>
    </row>
    <row r="37" spans="1:8">
      <c r="A37" s="56" t="s">
        <v>123</v>
      </c>
      <c r="B37" s="56"/>
      <c r="C37" s="36" t="s">
        <v>32</v>
      </c>
      <c r="D37" s="36" t="s">
        <v>77</v>
      </c>
      <c r="E37" s="32">
        <f>IF(E16=H2,K2,IF(E16=H3,K3,IF(E16=H4,K4,IF(E16=H5,K5,IF(E16=H6,K6,IF(E16=H7,K7,IF(E16=H8,K8,IF(E16=H9,K9,0))))))))</f>
        <v>3890</v>
      </c>
      <c r="F37" s="24"/>
      <c r="G37" s="23"/>
      <c r="H37" s="17"/>
    </row>
    <row r="38" spans="1:8">
      <c r="A38" s="56" t="s">
        <v>126</v>
      </c>
      <c r="B38" s="56"/>
      <c r="C38" s="15"/>
      <c r="D38" s="36" t="s">
        <v>67</v>
      </c>
      <c r="E38" s="34">
        <f>5/384*(E9*E18)*E15^4/E6/E37/10000</f>
        <v>0.68513738510629618</v>
      </c>
      <c r="F38" s="35" t="str">
        <f>IF(E38&lt;E15/360,"ok","Not ok")</f>
        <v>ok</v>
      </c>
      <c r="G38" s="27"/>
      <c r="H38" s="17"/>
    </row>
    <row r="39" spans="1:8">
      <c r="A39" s="56" t="s">
        <v>127</v>
      </c>
      <c r="B39" s="56"/>
      <c r="C39" s="15"/>
      <c r="D39" s="36" t="s">
        <v>67</v>
      </c>
      <c r="E39" s="34">
        <f>5/384*((E8+E9+E10)*E18)*E15^4/E6/E37/10000</f>
        <v>2.6609023194065777</v>
      </c>
      <c r="F39" s="35" t="str">
        <f>IF(E39&lt;E15/240,"ok","Not ok")</f>
        <v>ok</v>
      </c>
      <c r="G39" s="23"/>
      <c r="H39" s="17"/>
    </row>
    <row r="40" spans="1:8" ht="22.5">
      <c r="A40" s="52" t="s">
        <v>128</v>
      </c>
      <c r="B40" s="52"/>
      <c r="C40" s="52"/>
      <c r="D40" s="52"/>
      <c r="E40" s="52"/>
      <c r="F40" s="52"/>
      <c r="G40" s="17"/>
      <c r="H40" s="17"/>
    </row>
    <row r="41" spans="1:8">
      <c r="A41" s="59"/>
      <c r="B41" s="59"/>
      <c r="C41" s="36" t="s">
        <v>139</v>
      </c>
      <c r="D41" s="36"/>
      <c r="E41" s="32">
        <f>E35*E34/E5</f>
        <v>39.1</v>
      </c>
      <c r="F41" s="24"/>
    </row>
    <row r="42" spans="1:8">
      <c r="A42" s="59"/>
      <c r="B42" s="59"/>
      <c r="C42" s="36" t="s">
        <v>140</v>
      </c>
      <c r="D42" s="36"/>
      <c r="E42" s="31">
        <f>E41/E18</f>
        <v>0.35545454545454547</v>
      </c>
      <c r="F42" s="24"/>
    </row>
    <row r="43" spans="1:8">
      <c r="A43" s="59"/>
      <c r="B43" s="59"/>
      <c r="C43" s="37" t="s">
        <v>141</v>
      </c>
      <c r="D43" s="36"/>
      <c r="E43" s="33">
        <f>(E17*E16/2+E41*(E16+E14-E42/2))/(E17+E41)</f>
        <v>22.911136363636363</v>
      </c>
      <c r="F43" s="24"/>
    </row>
    <row r="44" spans="1:8">
      <c r="A44" s="56" t="s">
        <v>129</v>
      </c>
      <c r="B44" s="56"/>
      <c r="C44" s="36" t="s">
        <v>32</v>
      </c>
      <c r="D44" s="36" t="s">
        <v>77</v>
      </c>
      <c r="E44" s="32">
        <f>E37+E17*(E43-E16/2)^2+E41*(E16+(E14-E42/2)-E43)^2</f>
        <v>13199.936525526857</v>
      </c>
      <c r="F44" s="35"/>
    </row>
    <row r="45" spans="1:8" ht="18" customHeight="1">
      <c r="A45" s="56" t="s">
        <v>137</v>
      </c>
      <c r="B45" s="56"/>
      <c r="C45" s="36"/>
      <c r="D45" s="36" t="s">
        <v>67</v>
      </c>
      <c r="E45" s="31">
        <f>5/384*(E11*E18)*E15^4/E6/E44/10000</f>
        <v>1.2619305133160079</v>
      </c>
      <c r="F45" s="35" t="str">
        <f>IF(E38&lt;E15/360,"ok","Not ok")</f>
        <v>ok</v>
      </c>
    </row>
    <row r="46" spans="1:8" ht="18" customHeight="1">
      <c r="A46" s="56" t="s">
        <v>138</v>
      </c>
      <c r="B46" s="56"/>
      <c r="C46" s="36"/>
      <c r="D46" s="36" t="s">
        <v>67</v>
      </c>
      <c r="E46" s="31">
        <f>5/384*(E11+E12)*E18*E15^4/E6/E44/10000</f>
        <v>2.5238610266320158</v>
      </c>
      <c r="F46" s="35" t="str">
        <f>IF(E39&lt;E15/240,"ok","Not ok")</f>
        <v>ok</v>
      </c>
    </row>
    <row r="47" spans="1:8" ht="22.5">
      <c r="A47" s="52" t="s">
        <v>144</v>
      </c>
      <c r="B47" s="52"/>
      <c r="C47" s="52"/>
      <c r="D47" s="52"/>
      <c r="E47" s="52"/>
      <c r="F47" s="52"/>
    </row>
    <row r="48" spans="1:8">
      <c r="A48" s="56" t="s">
        <v>146</v>
      </c>
      <c r="B48" s="56"/>
      <c r="C48" s="36" t="s">
        <v>145</v>
      </c>
      <c r="D48" s="36"/>
      <c r="E48" s="31">
        <f>70*(E44/(E15/100)^4/(0.25*E11+E12)/(E18/100))^0.5</f>
        <v>4.3886915182358939</v>
      </c>
      <c r="F48" s="35" t="str">
        <f>IF(E48&gt;5,"ok","Not ok")</f>
        <v>Not ok</v>
      </c>
    </row>
    <row r="49" ht="36" customHeight="1"/>
    <row r="50" ht="22.5" customHeight="1"/>
    <row r="51" ht="21" customHeight="1"/>
    <row r="69" ht="18" customHeight="1"/>
  </sheetData>
  <sheetProtection sheet="1" objects="1" scenarios="1"/>
  <mergeCells count="48">
    <mergeCell ref="A47:F47"/>
    <mergeCell ref="A48:B48"/>
    <mergeCell ref="A37:B37"/>
    <mergeCell ref="A40:F40"/>
    <mergeCell ref="A44:B44"/>
    <mergeCell ref="A45:B45"/>
    <mergeCell ref="A46:B46"/>
    <mergeCell ref="A41:B41"/>
    <mergeCell ref="A42:B42"/>
    <mergeCell ref="A43:B43"/>
    <mergeCell ref="A36:F36"/>
    <mergeCell ref="A30:B30"/>
    <mergeCell ref="A14:B14"/>
    <mergeCell ref="A22:B22"/>
    <mergeCell ref="A20:F20"/>
    <mergeCell ref="A34:B34"/>
    <mergeCell ref="A16:B16"/>
    <mergeCell ref="A25:F25"/>
    <mergeCell ref="A28:F28"/>
    <mergeCell ref="A27:B27"/>
    <mergeCell ref="A29:B29"/>
    <mergeCell ref="A31:B31"/>
    <mergeCell ref="A32:B32"/>
    <mergeCell ref="A1:F1"/>
    <mergeCell ref="A38:B38"/>
    <mergeCell ref="A39:B39"/>
    <mergeCell ref="A2:F2"/>
    <mergeCell ref="A5:B5"/>
    <mergeCell ref="A12:B12"/>
    <mergeCell ref="A26:B26"/>
    <mergeCell ref="A35:B35"/>
    <mergeCell ref="A8:B8"/>
    <mergeCell ref="A9:B9"/>
    <mergeCell ref="A11:B11"/>
    <mergeCell ref="A21:B21"/>
    <mergeCell ref="A33:B33"/>
    <mergeCell ref="A24:B24"/>
    <mergeCell ref="A23:B23"/>
    <mergeCell ref="A18:B18"/>
    <mergeCell ref="A3:B3"/>
    <mergeCell ref="A4:B4"/>
    <mergeCell ref="A15:B15"/>
    <mergeCell ref="A13:F13"/>
    <mergeCell ref="A19:B19"/>
    <mergeCell ref="A17:B17"/>
    <mergeCell ref="A10:B10"/>
    <mergeCell ref="A6:B6"/>
    <mergeCell ref="A7:F7"/>
  </mergeCells>
  <dataValidations count="3">
    <dataValidation type="list" allowBlank="1" showInputMessage="1" showErrorMessage="1" sqref="U28">
      <formula1>$U$26:$U$27</formula1>
    </dataValidation>
    <dataValidation type="list" allowBlank="1" showInputMessage="1" showErrorMessage="1" sqref="E29">
      <formula1>$N$2:$N$7</formula1>
    </dataValidation>
    <dataValidation type="list" allowBlank="1" showInputMessage="1" showErrorMessage="1" sqref="E16">
      <formula1>$H$2:$H$9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نیروی محوری و برش ستون میانی</vt:lpstr>
      <vt:lpstr>نیروی محوری و برش  ستون کناری</vt:lpstr>
      <vt:lpstr>نیروی محوری و برش  ستون گوشه</vt:lpstr>
      <vt:lpstr>کرومیت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</dc:creator>
  <cp:lastModifiedBy>Taha</cp:lastModifiedBy>
  <dcterms:created xsi:type="dcterms:W3CDTF">2012-05-19T21:41:53Z</dcterms:created>
  <dcterms:modified xsi:type="dcterms:W3CDTF">2014-03-03T11:00:59Z</dcterms:modified>
</cp:coreProperties>
</file>