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Civil 99-01-23\Excel 990123\Final 990123\"/>
    </mc:Choice>
  </mc:AlternateContent>
  <xr:revisionPtr revIDLastSave="0" documentId="13_ncr:1_{D2035877-2C82-49A2-8EB3-86DBE430F18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CI318-14" sheetId="4" r:id="rId1"/>
    <sheet name="ACI318-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7" i="5" l="1"/>
  <c r="H42" i="5"/>
  <c r="B38" i="5"/>
  <c r="H38" i="5" s="1"/>
  <c r="B31" i="5"/>
  <c r="H27" i="5"/>
  <c r="H26" i="5"/>
  <c r="H25" i="5"/>
  <c r="B23" i="5"/>
  <c r="B24" i="5" s="1"/>
  <c r="B22" i="5"/>
  <c r="B21" i="5"/>
  <c r="B20" i="5"/>
  <c r="H15" i="5" s="1"/>
  <c r="H18" i="5"/>
  <c r="H16" i="5"/>
  <c r="H17" i="5" s="1"/>
  <c r="H21" i="5" s="1"/>
  <c r="Y13" i="5"/>
  <c r="Y14" i="5" s="1"/>
  <c r="Y15" i="5" s="1"/>
  <c r="D17" i="5" s="1"/>
  <c r="B25" i="5" l="1"/>
  <c r="H40" i="5"/>
  <c r="H39" i="5"/>
  <c r="Y8" i="5"/>
  <c r="Y9" i="5" s="1"/>
  <c r="Y10" i="5" s="1"/>
  <c r="B32" i="5"/>
  <c r="H22" i="5"/>
  <c r="H23" i="5" s="1"/>
  <c r="B39" i="5"/>
  <c r="H7" i="5"/>
  <c r="H10" i="5" s="1"/>
  <c r="H35" i="5"/>
  <c r="H36" i="5" s="1"/>
  <c r="H8" i="5"/>
  <c r="H19" i="5"/>
  <c r="H20" i="5" s="1"/>
  <c r="H28" i="5"/>
  <c r="H29" i="5" s="1"/>
  <c r="H9" i="5"/>
  <c r="H30" i="5"/>
  <c r="H31" i="5" s="1"/>
  <c r="H42" i="4"/>
  <c r="H26" i="4"/>
  <c r="H25" i="4"/>
  <c r="H12" i="5" l="1"/>
  <c r="I12" i="5" s="1"/>
  <c r="B40" i="5"/>
  <c r="B41" i="5" s="1"/>
  <c r="D39" i="5"/>
  <c r="H24" i="5"/>
  <c r="H37" i="5" s="1"/>
  <c r="J23" i="5"/>
  <c r="H11" i="5"/>
  <c r="B33" i="5"/>
  <c r="B34" i="5" s="1"/>
  <c r="D32" i="5"/>
  <c r="B31" i="4"/>
  <c r="B42" i="5" l="1"/>
  <c r="B43" i="5" s="1"/>
  <c r="C43" i="5" s="1"/>
  <c r="C41" i="5"/>
  <c r="C34" i="5"/>
  <c r="B35" i="5"/>
  <c r="B36" i="5" s="1"/>
  <c r="C36" i="5" s="1"/>
  <c r="H33" i="5"/>
  <c r="H32" i="5"/>
  <c r="B38" i="4"/>
  <c r="H34" i="5" l="1"/>
  <c r="J34" i="5" s="1"/>
  <c r="B20" i="4"/>
  <c r="B21" i="4"/>
  <c r="H7" i="4" s="1"/>
  <c r="Y13" i="4"/>
  <c r="H41" i="5" l="1"/>
  <c r="H43" i="5" s="1"/>
  <c r="I43" i="5" s="1"/>
  <c r="H38" i="4"/>
  <c r="H39" i="4" s="1"/>
  <c r="H10" i="4"/>
  <c r="Y14" i="4"/>
  <c r="Y15" i="4" s="1"/>
  <c r="D17" i="4" s="1"/>
  <c r="H27" i="4"/>
  <c r="H40" i="4" l="1"/>
  <c r="H35" i="4"/>
  <c r="H30" i="4"/>
  <c r="H28" i="4"/>
  <c r="H18" i="4" l="1"/>
  <c r="H16" i="4"/>
  <c r="H17" i="4" l="1"/>
  <c r="H21" i="4" s="1"/>
  <c r="B39" i="4"/>
  <c r="B40" i="4" s="1"/>
  <c r="D39" i="4" l="1"/>
  <c r="B23" i="4"/>
  <c r="H8" i="4" s="1"/>
  <c r="B22" i="4"/>
  <c r="B41" i="4"/>
  <c r="Y8" i="4" l="1"/>
  <c r="Y9" i="4" s="1"/>
  <c r="Y10" i="4" s="1"/>
  <c r="C41" i="4"/>
  <c r="B42" i="4"/>
  <c r="H22" i="4"/>
  <c r="H23" i="4" s="1"/>
  <c r="J23" i="4" s="1"/>
  <c r="B32" i="4"/>
  <c r="B33" i="4" s="1"/>
  <c r="B34" i="4" s="1"/>
  <c r="H15" i="4"/>
  <c r="H19" i="4" s="1"/>
  <c r="H20" i="4" s="1"/>
  <c r="B24" i="4"/>
  <c r="B25" i="4"/>
  <c r="H9" i="4"/>
  <c r="B43" i="4" l="1"/>
  <c r="C43" i="4" s="1"/>
  <c r="H24" i="4"/>
  <c r="H31" i="4" s="1"/>
  <c r="H33" i="4" s="1"/>
  <c r="C34" i="4"/>
  <c r="B35" i="4"/>
  <c r="B36" i="4" s="1"/>
  <c r="C36" i="4" s="1"/>
  <c r="D32" i="4"/>
  <c r="H11" i="4"/>
  <c r="H12" i="4" s="1"/>
  <c r="I12" i="4" s="1"/>
  <c r="H36" i="4" l="1"/>
  <c r="H37" i="4" s="1"/>
  <c r="H29" i="4"/>
  <c r="H32" i="4" s="1"/>
  <c r="H34" i="4" s="1"/>
  <c r="H41" i="4" l="1"/>
  <c r="H43" i="4" s="1"/>
  <c r="I43" i="4" s="1"/>
  <c r="J34" i="4"/>
</calcChain>
</file>

<file path=xl/sharedStrings.xml><?xml version="1.0" encoding="utf-8"?>
<sst xmlns="http://schemas.openxmlformats.org/spreadsheetml/2006/main" count="322" uniqueCount="104">
  <si>
    <t>cm</t>
  </si>
  <si>
    <t>L =</t>
  </si>
  <si>
    <t>C =</t>
  </si>
  <si>
    <t>a =</t>
  </si>
  <si>
    <t>DL =</t>
  </si>
  <si>
    <t>LL =</t>
  </si>
  <si>
    <r>
      <t>L</t>
    </r>
    <r>
      <rPr>
        <b/>
        <vertAlign val="subscript"/>
        <sz val="11"/>
        <color theme="1"/>
        <rFont val="Calibri"/>
        <family val="2"/>
        <scheme val="minor"/>
      </rPr>
      <t>partition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</si>
  <si>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S 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</t>
    </r>
  </si>
  <si>
    <t>Rib Spacing</t>
  </si>
  <si>
    <t xml:space="preserve">Concrete Cover to Rebar Center 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</si>
  <si>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</si>
  <si>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</si>
  <si>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 xml:space="preserve">b 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=</t>
    </r>
  </si>
  <si>
    <t>Rib Width</t>
  </si>
  <si>
    <r>
      <t xml:space="preserve">t </t>
    </r>
    <r>
      <rPr>
        <b/>
        <vertAlign val="subscript"/>
        <sz val="11"/>
        <color theme="1"/>
        <rFont val="Calibri"/>
        <family val="2"/>
        <scheme val="minor"/>
      </rPr>
      <t>Slab</t>
    </r>
    <r>
      <rPr>
        <b/>
        <sz val="11"/>
        <color theme="1"/>
        <rFont val="Calibri"/>
        <family val="2"/>
        <scheme val="minor"/>
      </rPr>
      <t xml:space="preserve"> =</t>
    </r>
  </si>
  <si>
    <t>d =</t>
  </si>
  <si>
    <r>
      <t xml:space="preserve">b 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=</t>
    </r>
  </si>
  <si>
    <t>The Effective Flange Width</t>
  </si>
  <si>
    <r>
      <t xml:space="preserve">W </t>
    </r>
    <r>
      <rPr>
        <b/>
        <vertAlign val="subscript"/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</si>
  <si>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A 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=</t>
    </r>
  </si>
  <si>
    <r>
      <t>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</si>
  <si>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ɸM</t>
    </r>
    <r>
      <rPr>
        <b/>
        <vertAlign val="subscript"/>
        <sz val="11"/>
        <color theme="1"/>
        <rFont val="Calibri"/>
        <family val="2"/>
      </rPr>
      <t>n</t>
    </r>
    <r>
      <rPr>
        <b/>
        <sz val="11"/>
        <color theme="1"/>
        <rFont val="Calibri"/>
        <family val="2"/>
      </rPr>
      <t xml:space="preserve"> =</t>
    </r>
  </si>
  <si>
    <r>
      <t>h</t>
    </r>
    <r>
      <rPr>
        <b/>
        <sz val="11"/>
        <color theme="1"/>
        <rFont val="Calibri"/>
        <family val="2"/>
        <scheme val="minor"/>
      </rPr>
      <t xml:space="preserve"> =</t>
    </r>
  </si>
  <si>
    <r>
      <t>S</t>
    </r>
    <r>
      <rPr>
        <b/>
        <sz val="11"/>
        <color theme="1"/>
        <rFont val="Calibri"/>
        <family val="2"/>
        <scheme val="minor"/>
      </rPr>
      <t xml:space="preserve"> =</t>
    </r>
  </si>
  <si>
    <t xml:space="preserve">the Longitudinal Spacing of the Shear Reinforcement </t>
  </si>
  <si>
    <t>Degree</t>
  </si>
  <si>
    <t xml:space="preserve">the Angle Between the Inclined Stirrups and the Longitudinal Axis of the Member </t>
  </si>
  <si>
    <r>
      <t xml:space="preserve">V </t>
    </r>
    <r>
      <rPr>
        <b/>
        <vertAlign val="subscript"/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</si>
  <si>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V 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</si>
  <si>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V 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</si>
  <si>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</rPr>
      <t>ɸ</t>
    </r>
    <r>
      <rPr>
        <b/>
        <sz val="11"/>
        <color theme="1"/>
        <rFont val="Calibri"/>
        <family val="2"/>
        <scheme val="minor"/>
      </rPr>
      <t xml:space="preserve">V 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=</t>
    </r>
  </si>
  <si>
    <t>c =</t>
  </si>
  <si>
    <r>
      <t xml:space="preserve">Ɛ </t>
    </r>
    <r>
      <rPr>
        <b/>
        <vertAlign val="subscript"/>
        <sz val="11"/>
        <color theme="1"/>
        <rFont val="Calibri"/>
        <family val="2"/>
      </rPr>
      <t>t</t>
    </r>
    <r>
      <rPr>
        <b/>
        <sz val="11"/>
        <color theme="1"/>
        <rFont val="Calibri"/>
        <family val="2"/>
      </rPr>
      <t xml:space="preserve"> =</t>
    </r>
  </si>
  <si>
    <t>α =</t>
  </si>
  <si>
    <r>
      <t>y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</si>
  <si>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 xml:space="preserve">E 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</si>
  <si>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t>n =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</si>
  <si>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</si>
  <si>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>cm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</si>
  <si>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 xml:space="preserve">M 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</si>
  <si>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</si>
  <si>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 xml:space="preserve">I 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</si>
  <si>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t>f =</t>
  </si>
  <si>
    <t>kd =</t>
  </si>
  <si>
    <r>
      <t xml:space="preserve">E </t>
    </r>
    <r>
      <rPr>
        <b/>
        <vertAlign val="sub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</si>
  <si>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 xml:space="preserve">W 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</si>
  <si>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M </t>
    </r>
    <r>
      <rPr>
        <b/>
        <vertAlign val="subscript"/>
        <sz val="10"/>
        <color theme="1"/>
        <rFont val="Calibri"/>
        <family val="2"/>
        <scheme val="minor"/>
      </rPr>
      <t>a(D+Lp+L)</t>
    </r>
    <r>
      <rPr>
        <b/>
        <sz val="10"/>
        <color theme="1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</si>
  <si>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1"/>
        <rFont val="Calibri"/>
        <family val="2"/>
        <scheme val="minor"/>
      </rPr>
      <t>e(D+Lp+L)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</si>
  <si>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 xml:space="preserve">δ </t>
    </r>
    <r>
      <rPr>
        <b/>
        <vertAlign val="subscript"/>
        <sz val="11"/>
        <color theme="1"/>
        <rFont val="Calibri"/>
        <family val="2"/>
      </rPr>
      <t>(D+Lp+L)</t>
    </r>
    <r>
      <rPr>
        <b/>
        <sz val="11"/>
        <color theme="1"/>
        <rFont val="Calibri"/>
        <family val="2"/>
      </rPr>
      <t xml:space="preserve"> =</t>
    </r>
  </si>
  <si>
    <r>
      <t xml:space="preserve">δ </t>
    </r>
    <r>
      <rPr>
        <b/>
        <vertAlign val="subscript"/>
        <sz val="11"/>
        <color theme="1"/>
        <rFont val="Calibri"/>
        <family val="2"/>
      </rPr>
      <t>L</t>
    </r>
    <r>
      <rPr>
        <b/>
        <sz val="11"/>
        <color theme="1"/>
        <rFont val="Calibri"/>
        <family val="2"/>
      </rPr>
      <t xml:space="preserve"> =</t>
    </r>
  </si>
  <si>
    <t>β =</t>
  </si>
  <si>
    <r>
      <t xml:space="preserve">M </t>
    </r>
    <r>
      <rPr>
        <b/>
        <vertAlign val="subscript"/>
        <sz val="10"/>
        <color theme="1"/>
        <rFont val="Calibri"/>
        <family val="2"/>
        <scheme val="minor"/>
      </rPr>
      <t>SUS</t>
    </r>
    <r>
      <rPr>
        <b/>
        <sz val="10"/>
        <color theme="1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</si>
  <si>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1"/>
        <rFont val="Calibri"/>
        <family val="2"/>
        <scheme val="minor"/>
      </rPr>
      <t>e SUS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</si>
  <si>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 xml:space="preserve">δ </t>
    </r>
    <r>
      <rPr>
        <b/>
        <vertAlign val="subscript"/>
        <sz val="11"/>
        <color theme="1"/>
        <rFont val="Calibri"/>
        <family val="2"/>
      </rPr>
      <t>SUS</t>
    </r>
    <r>
      <rPr>
        <b/>
        <sz val="11"/>
        <color theme="1"/>
        <rFont val="Calibri"/>
        <family val="2"/>
      </rPr>
      <t xml:space="preserve"> =</t>
    </r>
  </si>
  <si>
    <r>
      <t xml:space="preserve">δ </t>
    </r>
    <r>
      <rPr>
        <b/>
        <vertAlign val="subscript"/>
        <sz val="11"/>
        <color theme="1"/>
        <rFont val="Calibri"/>
        <family val="2"/>
      </rPr>
      <t>Total</t>
    </r>
    <r>
      <rPr>
        <b/>
        <sz val="11"/>
        <color theme="1"/>
        <rFont val="Calibri"/>
        <family val="2"/>
      </rPr>
      <t xml:space="preserve"> =</t>
    </r>
  </si>
  <si>
    <t>Rectangle Section</t>
  </si>
  <si>
    <t>B =</t>
  </si>
  <si>
    <t>Type</t>
  </si>
  <si>
    <t>Single Joist</t>
  </si>
  <si>
    <t>Ф</t>
  </si>
  <si>
    <t>Top Reinforcement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</si>
  <si>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yt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</si>
  <si>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t>Joist Properties</t>
  </si>
  <si>
    <t>Moment Design</t>
  </si>
  <si>
    <r>
      <t xml:space="preserve">M </t>
    </r>
    <r>
      <rPr>
        <b/>
        <vertAlign val="subscript"/>
        <sz val="11"/>
        <color theme="1"/>
        <rFont val="Calibri"/>
        <family val="2"/>
        <scheme val="minor"/>
      </rPr>
      <t>UBott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</si>
  <si>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M </t>
    </r>
    <r>
      <rPr>
        <b/>
        <vertAlign val="subscript"/>
        <sz val="11"/>
        <color theme="1"/>
        <rFont val="Calibri"/>
        <family val="2"/>
        <scheme val="minor"/>
      </rPr>
      <t>UTop</t>
    </r>
    <r>
      <rPr>
        <b/>
        <sz val="11"/>
        <color theme="1"/>
        <rFont val="Calibri"/>
        <family val="2"/>
        <scheme val="minor"/>
      </rPr>
      <t xml:space="preserve"> =</t>
    </r>
  </si>
  <si>
    <t>Shear Design</t>
  </si>
  <si>
    <t>Deflection Control</t>
  </si>
  <si>
    <t>X =</t>
  </si>
  <si>
    <t xml:space="preserve">Percent of Permanent Live Load </t>
  </si>
  <si>
    <t>According to ACI 318-14</t>
  </si>
  <si>
    <t>Ratio =</t>
  </si>
  <si>
    <t>Bottom Reinforcement</t>
  </si>
  <si>
    <t>Main Bars</t>
  </si>
  <si>
    <t>Add Bar</t>
  </si>
  <si>
    <t>Overall Depth of Rib</t>
  </si>
  <si>
    <t>Are Partitions Likely to be Damaged by Large Deflections?</t>
  </si>
  <si>
    <t>Camber =</t>
  </si>
  <si>
    <t>Shear Reinforcement</t>
  </si>
  <si>
    <t>No</t>
  </si>
  <si>
    <r>
      <t xml:space="preserve">W 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</si>
  <si>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M </t>
    </r>
    <r>
      <rPr>
        <b/>
        <vertAlign val="subscript"/>
        <sz val="11"/>
        <color theme="1"/>
        <rFont val="Calibri"/>
        <family val="2"/>
        <scheme val="minor"/>
      </rPr>
      <t>a(D)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</si>
  <si>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W </t>
    </r>
    <r>
      <rPr>
        <b/>
        <vertAlign val="subscript"/>
        <sz val="11"/>
        <color theme="1"/>
        <rFont val="Calibri"/>
        <family val="2"/>
        <scheme val="minor"/>
      </rPr>
      <t>Lp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</si>
  <si>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I </t>
    </r>
    <r>
      <rPr>
        <b/>
        <vertAlign val="subscript"/>
        <sz val="11"/>
        <color theme="1"/>
        <rFont val="Calibri"/>
        <family val="2"/>
        <scheme val="minor"/>
      </rPr>
      <t>e(D)</t>
    </r>
    <r>
      <rPr>
        <b/>
        <sz val="11"/>
        <color theme="1"/>
        <rFont val="Calibri"/>
        <family val="2"/>
        <scheme val="minor"/>
      </rPr>
      <t xml:space="preserve"> =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</si>
  <si>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r>
      <t xml:space="preserve">δ </t>
    </r>
    <r>
      <rPr>
        <b/>
        <vertAlign val="subscript"/>
        <sz val="11"/>
        <color theme="1"/>
        <rFont val="Calibri"/>
        <family val="2"/>
      </rPr>
      <t>D</t>
    </r>
    <r>
      <rPr>
        <b/>
        <sz val="11"/>
        <color theme="1"/>
        <rFont val="Calibri"/>
        <family val="2"/>
      </rPr>
      <t xml:space="preserve"> =</t>
    </r>
  </si>
  <si>
    <r>
      <rPr>
        <b/>
        <sz val="11"/>
        <color theme="1"/>
        <rFont val="Calibri"/>
        <family val="2"/>
      </rPr>
      <t>ρ'</t>
    </r>
    <r>
      <rPr>
        <b/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</si>
  <si>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</rPr>
      <t>λ</t>
    </r>
    <r>
      <rPr>
        <b/>
        <vertAlign val="subscript"/>
        <sz val="11"/>
        <color theme="1"/>
        <rFont val="Calibri"/>
        <family val="2"/>
      </rPr>
      <t xml:space="preserve"> 5 year</t>
    </r>
    <r>
      <rPr>
        <b/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</si>
  <si>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</rPr>
      <t>λ</t>
    </r>
    <r>
      <rPr>
        <b/>
        <vertAlign val="subscript"/>
        <sz val="11"/>
        <color theme="1"/>
        <rFont val="Calibri"/>
        <family val="2"/>
      </rPr>
      <t xml:space="preserve"> 3 month</t>
    </r>
    <r>
      <rPr>
        <b/>
        <sz val="11"/>
        <color theme="1"/>
        <rFont val="Calibri"/>
        <family val="2"/>
        <scheme val="minor"/>
      </rPr>
      <t xml:space="preserve"> =</t>
    </r>
  </si>
  <si>
    <r>
      <t xml:space="preserve">δ </t>
    </r>
    <r>
      <rPr>
        <b/>
        <vertAlign val="subscript"/>
        <sz val="11"/>
        <color theme="1"/>
        <rFont val="Calibri"/>
        <family val="2"/>
      </rPr>
      <t>Allowable</t>
    </r>
    <r>
      <rPr>
        <b/>
        <sz val="11"/>
        <color theme="1"/>
        <rFont val="Calibri"/>
        <family val="2"/>
      </rPr>
      <t xml:space="preserve"> =</t>
    </r>
  </si>
  <si>
    <r>
      <t>kgf/cm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</si>
  <si>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kgf/m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</si>
  <si>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kgf/m</t>
  </si>
  <si>
    <t>kgf.m</t>
  </si>
  <si>
    <t>kgf</t>
  </si>
  <si>
    <t>kgf.m/m</t>
  </si>
  <si>
    <r>
      <t xml:space="preserve">I </t>
    </r>
    <r>
      <rPr>
        <b/>
        <vertAlign val="subscript"/>
        <sz val="11"/>
        <color theme="0"/>
        <rFont val="Calibri"/>
        <family val="2"/>
        <scheme val="minor"/>
      </rPr>
      <t>cr</t>
    </r>
    <r>
      <rPr>
        <b/>
        <sz val="11"/>
        <color theme="0"/>
        <rFont val="Calibri"/>
        <family val="2"/>
        <scheme val="minor"/>
      </rPr>
      <t xml:space="preserve"> =</t>
    </r>
    <r>
      <rPr>
        <b/>
        <vertAlign val="superscript"/>
        <sz val="11"/>
        <color theme="0"/>
        <rFont val="Calibri"/>
        <family val="2"/>
        <scheme val="minor"/>
      </rPr>
      <t xml:space="preserve"> </t>
    </r>
  </si>
  <si>
    <r>
      <t>cm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</si>
  <si>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t xml:space="preserve">W </t>
    </r>
    <r>
      <rPr>
        <b/>
        <vertAlign val="subscript"/>
        <sz val="11"/>
        <color theme="0"/>
        <rFont val="Calibri"/>
        <family val="2"/>
        <scheme val="minor"/>
      </rPr>
      <t>U</t>
    </r>
    <r>
      <rPr>
        <b/>
        <sz val="11"/>
        <color theme="0"/>
        <rFont val="Calibri"/>
        <family val="2"/>
        <scheme val="minor"/>
      </rPr>
      <t xml:space="preserve"> =</t>
    </r>
  </si>
  <si>
    <r>
      <t>kgf/m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</si>
  <si>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 xml:space="preserve">M </t>
    </r>
    <r>
      <rPr>
        <b/>
        <vertAlign val="subscript"/>
        <sz val="11"/>
        <color theme="0"/>
        <rFont val="Calibri"/>
        <family val="2"/>
        <scheme val="minor"/>
      </rPr>
      <t>U</t>
    </r>
    <r>
      <rPr>
        <b/>
        <sz val="11"/>
        <color theme="0"/>
        <rFont val="Calibri"/>
        <family val="2"/>
        <scheme val="minor"/>
      </rPr>
      <t xml:space="preserve"> =</t>
    </r>
  </si>
  <si>
    <r>
      <t>f</t>
    </r>
    <r>
      <rPr>
        <b/>
        <vertAlign val="subscript"/>
        <sz val="11"/>
        <color theme="0"/>
        <rFont val="Calibri"/>
        <family val="2"/>
        <scheme val="minor"/>
      </rPr>
      <t>ct</t>
    </r>
    <r>
      <rPr>
        <b/>
        <sz val="11"/>
        <color theme="0"/>
        <rFont val="Calibri"/>
        <family val="2"/>
        <scheme val="minor"/>
      </rPr>
      <t xml:space="preserve"> =</t>
    </r>
    <r>
      <rPr>
        <b/>
        <vertAlign val="superscript"/>
        <sz val="11"/>
        <color theme="0"/>
        <rFont val="Calibri"/>
        <family val="2"/>
        <scheme val="minor"/>
      </rPr>
      <t xml:space="preserve"> </t>
    </r>
  </si>
  <si>
    <r>
      <t>kgf/cm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</si>
  <si>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According to ACI 318-19</t>
  </si>
  <si>
    <r>
      <t xml:space="preserve">(2/3)M </t>
    </r>
    <r>
      <rPr>
        <b/>
        <vertAlign val="subscript"/>
        <sz val="11"/>
        <color theme="0"/>
        <rFont val="Calibri"/>
        <family val="2"/>
        <scheme val="minor"/>
      </rPr>
      <t>cr</t>
    </r>
    <r>
      <rPr>
        <b/>
        <sz val="11"/>
        <color theme="0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</si>
</sst>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8"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9</xdr:row>
          <xdr:rowOff>0</xdr:rowOff>
        </xdr:from>
        <xdr:to>
          <xdr:col>21</xdr:col>
          <xdr:colOff>0</xdr:colOff>
          <xdr:row>28</xdr:row>
          <xdr:rowOff>53340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9</xdr:row>
          <xdr:rowOff>0</xdr:rowOff>
        </xdr:from>
        <xdr:to>
          <xdr:col>21</xdr:col>
          <xdr:colOff>0</xdr:colOff>
          <xdr:row>28</xdr:row>
          <xdr:rowOff>53340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showGridLines="0" zoomScaleNormal="100" workbookViewId="0">
      <selection activeCell="H7" sqref="H7"/>
    </sheetView>
  </sheetViews>
  <sheetFormatPr defaultColWidth="8.88671875" defaultRowHeight="14.4" x14ac:dyDescent="0.3"/>
  <cols>
    <col min="1" max="16384" width="8.88671875" style="1"/>
  </cols>
  <sheetData>
    <row r="1" spans="1:27" s="11" customFormat="1" ht="21" customHeight="1" x14ac:dyDescent="0.3">
      <c r="B1" s="36" t="s">
        <v>70</v>
      </c>
      <c r="C1" s="36"/>
      <c r="D1" s="36"/>
      <c r="E1" s="36"/>
      <c r="F1" s="36"/>
      <c r="G1" s="36"/>
      <c r="H1" s="36"/>
      <c r="I1" s="15"/>
    </row>
    <row r="2" spans="1:27" s="20" customFormat="1" ht="21" customHeight="1" x14ac:dyDescent="0.3">
      <c r="B2" s="36"/>
      <c r="C2" s="36"/>
      <c r="D2" s="36"/>
      <c r="E2" s="36"/>
      <c r="F2" s="36"/>
      <c r="G2" s="36"/>
      <c r="H2" s="36"/>
      <c r="I2" s="15"/>
    </row>
    <row r="3" spans="1:27" s="13" customFormat="1" ht="21" customHeight="1" x14ac:dyDescent="0.3">
      <c r="A3" s="40" t="s">
        <v>62</v>
      </c>
      <c r="B3" s="40"/>
      <c r="C3" s="40"/>
      <c r="D3" s="15"/>
      <c r="E3" s="15"/>
      <c r="F3" s="15"/>
      <c r="G3" s="40" t="s">
        <v>66</v>
      </c>
      <c r="H3" s="40"/>
      <c r="I3" s="40"/>
    </row>
    <row r="4" spans="1:27" ht="16.2" x14ac:dyDescent="0.3">
      <c r="A4" s="37" t="s">
        <v>76</v>
      </c>
      <c r="B4" s="37"/>
      <c r="C4" s="37"/>
      <c r="D4" s="38" t="s">
        <v>79</v>
      </c>
      <c r="E4" s="21"/>
      <c r="G4" s="9" t="s">
        <v>61</v>
      </c>
      <c r="H4" s="19">
        <v>3000</v>
      </c>
      <c r="I4" s="9" t="s">
        <v>89</v>
      </c>
      <c r="X4" s="32"/>
      <c r="Y4" s="32"/>
      <c r="Z4" s="32"/>
      <c r="AA4" s="32"/>
    </row>
    <row r="5" spans="1:27" s="20" customFormat="1" x14ac:dyDescent="0.3">
      <c r="A5" s="37"/>
      <c r="B5" s="37"/>
      <c r="C5" s="37"/>
      <c r="D5" s="38"/>
      <c r="E5" s="21"/>
      <c r="G5" s="2" t="s">
        <v>23</v>
      </c>
      <c r="H5" s="19">
        <v>15</v>
      </c>
      <c r="I5" s="2" t="s">
        <v>0</v>
      </c>
      <c r="K5" s="43" t="s">
        <v>24</v>
      </c>
      <c r="L5" s="43"/>
      <c r="M5" s="43"/>
      <c r="N5" s="43"/>
      <c r="O5" s="43"/>
      <c r="P5" s="43"/>
      <c r="Q5" s="16"/>
      <c r="R5" s="16"/>
      <c r="S5" s="16"/>
      <c r="X5" s="32"/>
      <c r="Y5" s="32"/>
      <c r="Z5" s="32"/>
      <c r="AA5" s="32"/>
    </row>
    <row r="6" spans="1:27" x14ac:dyDescent="0.3">
      <c r="A6" s="1" t="s">
        <v>57</v>
      </c>
      <c r="B6" s="38" t="s">
        <v>58</v>
      </c>
      <c r="C6" s="38"/>
      <c r="E6" s="45" t="s">
        <v>78</v>
      </c>
      <c r="F6" s="45"/>
      <c r="G6" s="26">
        <v>1</v>
      </c>
      <c r="H6" s="25" t="s">
        <v>59</v>
      </c>
      <c r="I6" s="26">
        <v>6</v>
      </c>
      <c r="K6" s="21"/>
      <c r="L6" s="21"/>
      <c r="M6" s="21"/>
      <c r="N6" s="21"/>
      <c r="O6" s="16"/>
      <c r="P6" s="16"/>
      <c r="Q6" s="16"/>
      <c r="R6" s="16"/>
      <c r="S6" s="16"/>
      <c r="X6" s="32"/>
      <c r="Y6" s="32"/>
      <c r="Z6" s="32"/>
      <c r="AA6" s="32"/>
    </row>
    <row r="7" spans="1:27" ht="16.2" x14ac:dyDescent="0.3">
      <c r="A7" s="1" t="s">
        <v>4</v>
      </c>
      <c r="B7" s="19">
        <v>560</v>
      </c>
      <c r="C7" s="1" t="s">
        <v>90</v>
      </c>
      <c r="G7" s="4" t="s">
        <v>33</v>
      </c>
      <c r="H7" s="14">
        <f>ATAN((B21-0.5*B17)/(0.5*H5))*180/PI()</f>
        <v>73.109416211765932</v>
      </c>
      <c r="I7" s="1" t="s">
        <v>25</v>
      </c>
      <c r="K7" s="43" t="s">
        <v>26</v>
      </c>
      <c r="L7" s="43"/>
      <c r="M7" s="43"/>
      <c r="N7" s="43"/>
      <c r="O7" s="43"/>
      <c r="P7" s="43"/>
      <c r="Q7" s="43"/>
      <c r="R7" s="43"/>
      <c r="S7" s="43"/>
      <c r="X7" s="39" t="s">
        <v>55</v>
      </c>
      <c r="Y7" s="39"/>
      <c r="Z7" s="32"/>
      <c r="AA7" s="32"/>
    </row>
    <row r="8" spans="1:27" ht="16.2" x14ac:dyDescent="0.3">
      <c r="A8" s="1" t="s">
        <v>5</v>
      </c>
      <c r="B8" s="19">
        <v>300</v>
      </c>
      <c r="C8" s="1" t="s">
        <v>90</v>
      </c>
      <c r="G8" s="2" t="s">
        <v>27</v>
      </c>
      <c r="H8" s="2">
        <f>(0.5*B23*B18*10^-2)-(B23*B21*10^-2)</f>
        <v>2248.768</v>
      </c>
      <c r="I8" s="2" t="s">
        <v>93</v>
      </c>
      <c r="X8" s="32" t="s">
        <v>56</v>
      </c>
      <c r="Y8" s="32">
        <f>B22/(B31*H17)</f>
        <v>0.99004761869158298</v>
      </c>
      <c r="Z8" s="32"/>
      <c r="AA8" s="32"/>
    </row>
    <row r="9" spans="1:27" ht="16.2" x14ac:dyDescent="0.3">
      <c r="A9" s="1" t="s">
        <v>6</v>
      </c>
      <c r="B9" s="19">
        <v>100</v>
      </c>
      <c r="C9" s="1" t="s">
        <v>90</v>
      </c>
      <c r="G9" s="2" t="s">
        <v>28</v>
      </c>
      <c r="H9" s="3">
        <f>1.1*0.53*B14^0.5*B20*B21</f>
        <v>2507.3067111943051</v>
      </c>
      <c r="I9" s="2" t="s">
        <v>93</v>
      </c>
      <c r="X9" s="32" t="s">
        <v>43</v>
      </c>
      <c r="Y9" s="32">
        <f>(SQRT((2*B21*Y8)+1)-1)/Y8</f>
        <v>6.4710609881068439</v>
      </c>
      <c r="Z9" s="32"/>
      <c r="AA9" s="32"/>
    </row>
    <row r="10" spans="1:27" ht="16.2" x14ac:dyDescent="0.3">
      <c r="A10" s="4" t="s">
        <v>50</v>
      </c>
      <c r="B10" s="19">
        <v>20</v>
      </c>
      <c r="D10" s="44" t="s">
        <v>69</v>
      </c>
      <c r="E10" s="44"/>
      <c r="F10" s="44"/>
      <c r="G10" s="2" t="s">
        <v>29</v>
      </c>
      <c r="H10" s="3">
        <f>MIN(4*0.53*B14^0.5*B20*B21,((G6*0.25*3.14*I6^2*10^-2*H4*B21)/H5)*(SIN(H7*3.14/180)+COS(H7*3.14/180)))</f>
        <v>1918.3548073698189</v>
      </c>
      <c r="I10" s="2" t="s">
        <v>93</v>
      </c>
      <c r="X10" s="32" t="s">
        <v>95</v>
      </c>
      <c r="Y10" s="32">
        <f>(B22*Y9^3)/3+(H17*B31*(B21-Y9)^2)</f>
        <v>26216.637890338901</v>
      </c>
      <c r="Z10" s="32" t="s">
        <v>96</v>
      </c>
      <c r="AA10" s="32"/>
    </row>
    <row r="11" spans="1:27" ht="15.6" x14ac:dyDescent="0.3">
      <c r="A11" s="1" t="s">
        <v>7</v>
      </c>
      <c r="B11" s="19">
        <v>50</v>
      </c>
      <c r="C11" s="1" t="s">
        <v>0</v>
      </c>
      <c r="D11" s="43" t="s">
        <v>8</v>
      </c>
      <c r="E11" s="43"/>
      <c r="F11" s="16"/>
      <c r="G11" s="2" t="s">
        <v>30</v>
      </c>
      <c r="H11" s="3">
        <f>0.75*(H9+H10)</f>
        <v>3319.246138923093</v>
      </c>
      <c r="I11" s="2" t="s">
        <v>93</v>
      </c>
      <c r="X11" s="32"/>
      <c r="Y11" s="32"/>
      <c r="Z11" s="32"/>
      <c r="AA11" s="32"/>
    </row>
    <row r="12" spans="1:27" x14ac:dyDescent="0.3">
      <c r="A12" s="1" t="s">
        <v>22</v>
      </c>
      <c r="B12" s="19">
        <v>30</v>
      </c>
      <c r="C12" s="1" t="s">
        <v>0</v>
      </c>
      <c r="D12" s="43" t="s">
        <v>75</v>
      </c>
      <c r="E12" s="43"/>
      <c r="F12" s="43"/>
      <c r="G12" s="1" t="s">
        <v>71</v>
      </c>
      <c r="H12" s="3">
        <f>H8/H11</f>
        <v>0.67749359519616636</v>
      </c>
      <c r="I12" s="1" t="str">
        <f>IF(H12&lt;=1,"O.K","N.G")</f>
        <v>O.K</v>
      </c>
      <c r="X12" s="32"/>
      <c r="Y12" s="32"/>
      <c r="Z12" s="32"/>
      <c r="AA12" s="32"/>
    </row>
    <row r="13" spans="1:27" ht="16.2" x14ac:dyDescent="0.3">
      <c r="A13" s="1" t="s">
        <v>68</v>
      </c>
      <c r="B13" s="19">
        <v>2.8</v>
      </c>
      <c r="C13" s="1" t="s">
        <v>0</v>
      </c>
      <c r="D13" s="44" t="s">
        <v>9</v>
      </c>
      <c r="E13" s="44"/>
      <c r="F13" s="44"/>
      <c r="J13" s="2"/>
      <c r="X13" s="32" t="s">
        <v>97</v>
      </c>
      <c r="Y13" s="32">
        <f>1.2*B7+1.6*B8+1.6*B9</f>
        <v>1312</v>
      </c>
      <c r="Z13" s="32" t="s">
        <v>98</v>
      </c>
      <c r="AA13" s="32"/>
    </row>
    <row r="14" spans="1:27" ht="16.2" x14ac:dyDescent="0.3">
      <c r="A14" s="1" t="s">
        <v>10</v>
      </c>
      <c r="B14" s="19">
        <v>250</v>
      </c>
      <c r="C14" s="1" t="s">
        <v>89</v>
      </c>
      <c r="G14" s="40" t="s">
        <v>67</v>
      </c>
      <c r="H14" s="40"/>
      <c r="I14" s="40"/>
      <c r="X14" s="32" t="s">
        <v>99</v>
      </c>
      <c r="Y14" s="32">
        <f>(Y13*(B11-B20)^2)/120000</f>
        <v>17.493333333333332</v>
      </c>
      <c r="Z14" s="32" t="s">
        <v>94</v>
      </c>
      <c r="AA14" s="32"/>
    </row>
    <row r="15" spans="1:27" ht="16.2" x14ac:dyDescent="0.3">
      <c r="A15" s="1" t="s">
        <v>11</v>
      </c>
      <c r="B15" s="19">
        <v>3000</v>
      </c>
      <c r="C15" s="1" t="s">
        <v>89</v>
      </c>
      <c r="G15" s="5" t="s">
        <v>34</v>
      </c>
      <c r="H15" s="1">
        <f>((B20*0.5*(B12-B17)^2)+(B22*B17*(B12-0.5*B17)))/(B20*(B12-B17)+B22*B17)</f>
        <v>20</v>
      </c>
      <c r="I15" s="1" t="s">
        <v>0</v>
      </c>
      <c r="X15" s="32" t="s">
        <v>100</v>
      </c>
      <c r="Y15" s="32">
        <f>(Y14*600)/(100*B17^2)</f>
        <v>4.1984000000000004</v>
      </c>
      <c r="Z15" s="32" t="s">
        <v>101</v>
      </c>
      <c r="AA15" s="32"/>
    </row>
    <row r="16" spans="1:27" ht="16.2" x14ac:dyDescent="0.3">
      <c r="A16" s="5" t="s">
        <v>44</v>
      </c>
      <c r="B16" s="19">
        <v>2000000</v>
      </c>
      <c r="C16" s="5" t="s">
        <v>89</v>
      </c>
      <c r="G16" s="5" t="s">
        <v>35</v>
      </c>
      <c r="H16" s="7">
        <f>15100*B14^0.5</f>
        <v>238751.96334271264</v>
      </c>
      <c r="I16" s="5" t="s">
        <v>89</v>
      </c>
      <c r="X16" s="32"/>
      <c r="Y16" s="32"/>
      <c r="Z16" s="32"/>
      <c r="AA16" s="32"/>
    </row>
    <row r="17" spans="1:27" ht="15.6" x14ac:dyDescent="0.3">
      <c r="A17" s="1" t="s">
        <v>14</v>
      </c>
      <c r="B17" s="19">
        <v>5</v>
      </c>
      <c r="C17" s="1" t="s">
        <v>0</v>
      </c>
      <c r="D17" s="1" t="str">
        <f>IF(Y15&lt;=0.6*1.33*B14^0.5,"O.K","N.G")</f>
        <v>O.K</v>
      </c>
      <c r="G17" s="5" t="s">
        <v>36</v>
      </c>
      <c r="H17" s="3">
        <f>B16/H16</f>
        <v>8.3768944640221967</v>
      </c>
      <c r="X17" s="32"/>
      <c r="Y17" s="32"/>
      <c r="Z17" s="32"/>
      <c r="AA17" s="32"/>
    </row>
    <row r="18" spans="1:27" ht="16.2" x14ac:dyDescent="0.3">
      <c r="A18" s="1" t="s">
        <v>1</v>
      </c>
      <c r="B18" s="19">
        <v>740</v>
      </c>
      <c r="C18" s="1" t="s">
        <v>0</v>
      </c>
      <c r="G18" s="5" t="s">
        <v>37</v>
      </c>
      <c r="H18" s="3">
        <f>2*B14^0.5</f>
        <v>31.622776601683793</v>
      </c>
      <c r="I18" s="5" t="s">
        <v>89</v>
      </c>
      <c r="X18" s="32"/>
      <c r="Y18" s="32"/>
      <c r="Z18" s="32"/>
      <c r="AA18" s="32"/>
    </row>
    <row r="19" spans="1:27" ht="16.2" x14ac:dyDescent="0.3">
      <c r="A19" s="1" t="s">
        <v>77</v>
      </c>
      <c r="B19" s="23">
        <v>0</v>
      </c>
      <c r="C19" s="22" t="s">
        <v>0</v>
      </c>
      <c r="G19" s="5" t="s">
        <v>41</v>
      </c>
      <c r="H19" s="3">
        <f>(B22*B17^3)/12+(B22*B17*(B12-0.5*B17-H15)^2)+(B20*H15^3)/3+(B20*(B12-B17-H15)^3)/3</f>
        <v>41666.666666666664</v>
      </c>
      <c r="I19" s="5" t="s">
        <v>38</v>
      </c>
      <c r="X19" s="32"/>
      <c r="Y19" s="32"/>
      <c r="Z19" s="32"/>
      <c r="AA19" s="32"/>
    </row>
    <row r="20" spans="1:27" ht="15.6" x14ac:dyDescent="0.3">
      <c r="A20" s="1" t="s">
        <v>12</v>
      </c>
      <c r="B20" s="9">
        <f>IF(B6="Single Joist",10,20)</f>
        <v>10</v>
      </c>
      <c r="C20" s="1" t="s">
        <v>0</v>
      </c>
      <c r="D20" s="43" t="s">
        <v>13</v>
      </c>
      <c r="E20" s="43"/>
      <c r="G20" s="5" t="s">
        <v>39</v>
      </c>
      <c r="H20" s="3">
        <f>(H18*H19)/(H15*100)</f>
        <v>658.8078458684123</v>
      </c>
      <c r="I20" s="5" t="s">
        <v>92</v>
      </c>
      <c r="X20" s="32"/>
      <c r="Y20" s="32"/>
      <c r="Z20" s="32"/>
      <c r="AA20" s="32"/>
    </row>
    <row r="21" spans="1:27" x14ac:dyDescent="0.3">
      <c r="A21" s="1" t="s">
        <v>15</v>
      </c>
      <c r="B21" s="1">
        <f>B12-B13</f>
        <v>27.2</v>
      </c>
      <c r="C21" s="1" t="s">
        <v>0</v>
      </c>
      <c r="G21" s="1" t="s">
        <v>2</v>
      </c>
      <c r="H21" s="1">
        <f>B20/(H17*B31)</f>
        <v>0.1980095237383166</v>
      </c>
    </row>
    <row r="22" spans="1:27" ht="15.6" x14ac:dyDescent="0.3">
      <c r="A22" s="1" t="s">
        <v>16</v>
      </c>
      <c r="B22" s="1">
        <f>MIN(0.25*B18+B20,16*B17+B20,B11)</f>
        <v>50</v>
      </c>
      <c r="C22" s="1" t="s">
        <v>0</v>
      </c>
      <c r="D22" s="43" t="s">
        <v>17</v>
      </c>
      <c r="E22" s="43"/>
      <c r="F22" s="43"/>
      <c r="G22" s="1" t="s">
        <v>42</v>
      </c>
      <c r="H22" s="2">
        <f>(B17*(B22-B20))/(H17*B31)</f>
        <v>3.9601904747663319</v>
      </c>
    </row>
    <row r="23" spans="1:27" ht="15.6" x14ac:dyDescent="0.3">
      <c r="A23" s="1" t="s">
        <v>18</v>
      </c>
      <c r="B23" s="1">
        <f>B11*10^-2*(1.2*B7+1.6*B8+1.6*B9)</f>
        <v>656</v>
      </c>
      <c r="C23" s="1" t="s">
        <v>91</v>
      </c>
      <c r="G23" s="1" t="s">
        <v>43</v>
      </c>
      <c r="H23" s="1">
        <f>(SQRT((1+H22)^2+H21*(2*B21+B17*H22))-(1+H22))/H21</f>
        <v>6.6080684140731005</v>
      </c>
      <c r="I23" s="1" t="s">
        <v>0</v>
      </c>
      <c r="J23" s="1" t="str">
        <f>IF(H23&gt;=B17,"&gt; t slab","&lt; t slab")</f>
        <v>&gt; t slab</v>
      </c>
    </row>
    <row r="24" spans="1:27" ht="16.2" x14ac:dyDescent="0.3">
      <c r="A24" s="1" t="s">
        <v>64</v>
      </c>
      <c r="B24" s="1">
        <f>(B23*B18^2)/80000</f>
        <v>4490.32</v>
      </c>
      <c r="C24" s="1" t="s">
        <v>92</v>
      </c>
      <c r="G24" s="5" t="s">
        <v>40</v>
      </c>
      <c r="H24" s="3">
        <f>IF(H23&gt;=B17,((B22-B20)*B17^3)/12+(B20*H23^3)/3+(H17*B31*(B21-H23)^2)+((B22-B20)*B17*(H23-0.5*B17)^2),Y10)</f>
        <v>26168.258452899754</v>
      </c>
      <c r="I24" s="5" t="s">
        <v>38</v>
      </c>
    </row>
    <row r="25" spans="1:27" ht="15.6" x14ac:dyDescent="0.3">
      <c r="A25" s="2" t="s">
        <v>65</v>
      </c>
      <c r="B25" s="2">
        <f>(B23*B18^2)/240000</f>
        <v>1496.7733333333333</v>
      </c>
      <c r="C25" s="2" t="s">
        <v>92</v>
      </c>
      <c r="G25" s="8" t="s">
        <v>80</v>
      </c>
      <c r="H25" s="8">
        <f>B11*10^-2*B7</f>
        <v>280</v>
      </c>
      <c r="I25" s="8" t="s">
        <v>91</v>
      </c>
    </row>
    <row r="26" spans="1:27" ht="15.6" x14ac:dyDescent="0.3">
      <c r="G26" s="27" t="s">
        <v>82</v>
      </c>
      <c r="H26" s="27">
        <f>B11*10^-2*B9</f>
        <v>50</v>
      </c>
      <c r="I26" s="27" t="s">
        <v>91</v>
      </c>
    </row>
    <row r="27" spans="1:27" ht="15.6" x14ac:dyDescent="0.3">
      <c r="A27" s="40" t="s">
        <v>63</v>
      </c>
      <c r="B27" s="40"/>
      <c r="C27" s="40"/>
      <c r="G27" s="8" t="s">
        <v>45</v>
      </c>
      <c r="H27" s="8">
        <f>B11*10^-2*B8</f>
        <v>150</v>
      </c>
      <c r="I27" s="8" t="s">
        <v>91</v>
      </c>
    </row>
    <row r="28" spans="1:27" ht="15.6" x14ac:dyDescent="0.3">
      <c r="A28" s="41" t="s">
        <v>72</v>
      </c>
      <c r="B28" s="41"/>
      <c r="C28" s="41"/>
      <c r="G28" s="8" t="s">
        <v>81</v>
      </c>
      <c r="H28" s="3">
        <f>(H25*B18^2)/80000</f>
        <v>1916.6</v>
      </c>
      <c r="I28" s="8" t="s">
        <v>92</v>
      </c>
    </row>
    <row r="29" spans="1:27" ht="16.2" x14ac:dyDescent="0.3">
      <c r="A29" s="18" t="s">
        <v>73</v>
      </c>
      <c r="B29" s="17">
        <v>2</v>
      </c>
      <c r="C29" s="9" t="s">
        <v>59</v>
      </c>
      <c r="D29" s="19">
        <v>16</v>
      </c>
      <c r="G29" s="8" t="s">
        <v>83</v>
      </c>
      <c r="H29" s="3">
        <f>MIN(H19,(H20/H28)^3*H19+(1-(H20/H28)^3)*H24)</f>
        <v>26797.719604651</v>
      </c>
      <c r="I29" s="8" t="s">
        <v>38</v>
      </c>
    </row>
    <row r="30" spans="1:27" ht="15" x14ac:dyDescent="0.3">
      <c r="A30" s="18" t="s">
        <v>74</v>
      </c>
      <c r="B30" s="24">
        <v>1</v>
      </c>
      <c r="C30" s="17" t="s">
        <v>59</v>
      </c>
      <c r="D30" s="19">
        <v>16</v>
      </c>
      <c r="G30" s="10" t="s">
        <v>46</v>
      </c>
      <c r="H30" s="3">
        <f>((H25+H26+H27)*B18^2)/80000</f>
        <v>3285.6</v>
      </c>
      <c r="I30" s="8" t="s">
        <v>92</v>
      </c>
    </row>
    <row r="31" spans="1:27" ht="16.2" x14ac:dyDescent="0.3">
      <c r="A31" s="1" t="s">
        <v>19</v>
      </c>
      <c r="B31" s="3">
        <f>IF(B6="Single Joist",(B29*0.25*3.14*D29^2*10^-2)+(B30*0.25*3.14*D30^2*10^-2),2*((B29*0.25*3.14*D29^2*10^-2)+(B30*0.25*3.14*D30^2*10^-2)))</f>
        <v>6.0288000000000004</v>
      </c>
      <c r="C31" s="1" t="s">
        <v>20</v>
      </c>
      <c r="G31" s="8" t="s">
        <v>47</v>
      </c>
      <c r="H31" s="3">
        <f>MIN(H19,(H20/H30)^3*H19+(1-(H20/H30)^3)*H24)</f>
        <v>26293.203577350378</v>
      </c>
      <c r="I31" s="8" t="s">
        <v>38</v>
      </c>
    </row>
    <row r="32" spans="1:27" ht="15.6" x14ac:dyDescent="0.3">
      <c r="A32" s="1" t="s">
        <v>3</v>
      </c>
      <c r="B32" s="3">
        <f>(B31*B15)/(0.85*B14*B22)</f>
        <v>1.702249411764706</v>
      </c>
      <c r="C32" s="1" t="s">
        <v>0</v>
      </c>
      <c r="D32" s="2" t="str">
        <f>IF(B32&lt;=B17,"O.K","N.G")</f>
        <v>O.K</v>
      </c>
      <c r="G32" s="4" t="s">
        <v>84</v>
      </c>
      <c r="H32" s="3">
        <f>(5*H25*10^-2*B18^4)/(384*H16*H29)</f>
        <v>1.7087514653055025</v>
      </c>
      <c r="I32" s="1" t="s">
        <v>0</v>
      </c>
    </row>
    <row r="33" spans="1:10" ht="15.6" x14ac:dyDescent="0.3">
      <c r="A33" s="1" t="s">
        <v>31</v>
      </c>
      <c r="B33" s="3">
        <f>IF(B14&lt;=280,B32/0.85,IF(B14&gt;=550,B32/0.65,(B32*70)/(0.85-0.05*(B14-280))))</f>
        <v>2.0026463667820069</v>
      </c>
      <c r="C33" s="1" t="s">
        <v>0</v>
      </c>
      <c r="G33" s="4" t="s">
        <v>48</v>
      </c>
      <c r="H33" s="3">
        <f>(5*(H25+H26+H27)*10^-2*B18^4)/(384*H16*H31)</f>
        <v>2.9854956356688263</v>
      </c>
      <c r="I33" s="8" t="s">
        <v>0</v>
      </c>
    </row>
    <row r="34" spans="1:10" ht="15.6" x14ac:dyDescent="0.3">
      <c r="A34" s="4" t="s">
        <v>32</v>
      </c>
      <c r="B34" s="6">
        <f>(0.003*B21)/B33-0.003</f>
        <v>3.7746085456475585E-2</v>
      </c>
      <c r="C34" s="42" t="str">
        <f>IF(B34&gt;=0.005,"Tension Controlled","Compression Controlled")</f>
        <v>Tension Controlled</v>
      </c>
      <c r="D34" s="42"/>
      <c r="E34" s="42"/>
      <c r="G34" s="4" t="s">
        <v>49</v>
      </c>
      <c r="H34" s="3">
        <f>H33-H32-B19</f>
        <v>1.2767441703633238</v>
      </c>
      <c r="I34" s="8" t="s">
        <v>0</v>
      </c>
      <c r="J34" s="1" t="str">
        <f>IF(H34&lt;=B18/360,"O.K","N.G")</f>
        <v>O.K</v>
      </c>
    </row>
    <row r="35" spans="1:10" ht="15.6" x14ac:dyDescent="0.3">
      <c r="A35" s="4" t="s">
        <v>21</v>
      </c>
      <c r="B35" s="3">
        <f>IF(B34&gt;=0.005,0.9*B31*B15*10^-2*(B21-0.5*B32),0.65*B31*B15*10^-2*(B21-0.5*B32))</f>
        <v>4289.006683075766</v>
      </c>
      <c r="C35" s="1" t="s">
        <v>92</v>
      </c>
      <c r="G35" s="10" t="s">
        <v>51</v>
      </c>
      <c r="H35" s="3">
        <f>((H25+H26+(B10*10^-2*H27))*B18^2)/80000</f>
        <v>2464.1999999999998</v>
      </c>
      <c r="I35" s="8" t="s">
        <v>92</v>
      </c>
    </row>
    <row r="36" spans="1:10" ht="16.2" x14ac:dyDescent="0.3">
      <c r="A36" s="17" t="s">
        <v>71</v>
      </c>
      <c r="B36" s="3">
        <f>B24/B35</f>
        <v>1.0469370490185075</v>
      </c>
      <c r="C36" s="17" t="str">
        <f>IF(B36&lt;=1,"O.K","N.G")</f>
        <v>N.G</v>
      </c>
      <c r="G36" s="8" t="s">
        <v>52</v>
      </c>
      <c r="H36" s="3">
        <f>MIN(H19,(H20/H35)^3*H19+(1-(H20/H35)^3)*H24)</f>
        <v>26464.424673819751</v>
      </c>
      <c r="I36" s="8" t="s">
        <v>38</v>
      </c>
    </row>
    <row r="37" spans="1:10" ht="15.6" x14ac:dyDescent="0.3">
      <c r="A37" s="41" t="s">
        <v>60</v>
      </c>
      <c r="B37" s="41"/>
      <c r="C37" s="12">
        <v>1</v>
      </c>
      <c r="D37" s="9" t="s">
        <v>59</v>
      </c>
      <c r="E37" s="19">
        <v>16</v>
      </c>
      <c r="G37" s="4" t="s">
        <v>53</v>
      </c>
      <c r="H37" s="3">
        <f>(5*(H25+H26+(B10*10^-2*H27))*10^-2*B18^4)/(384*H16*H36)</f>
        <v>2.2246349248691635</v>
      </c>
      <c r="I37" s="1" t="s">
        <v>0</v>
      </c>
    </row>
    <row r="38" spans="1:10" ht="16.2" x14ac:dyDescent="0.3">
      <c r="A38" s="2" t="s">
        <v>19</v>
      </c>
      <c r="B38" s="3">
        <f>IF(B6="Single Joist",C37*0.25*3.14*E37^2*10^-2,2*C37*0.25*3.14*E37^2*10^-2)</f>
        <v>2.0096000000000003</v>
      </c>
      <c r="C38" s="2" t="s">
        <v>20</v>
      </c>
      <c r="D38" s="2"/>
      <c r="G38" s="27" t="s">
        <v>85</v>
      </c>
      <c r="H38" s="27">
        <f>(B38+0.5)/(B11*B21)</f>
        <v>1.8452941176470591E-3</v>
      </c>
    </row>
    <row r="39" spans="1:10" ht="15.6" x14ac:dyDescent="0.3">
      <c r="A39" s="2" t="s">
        <v>3</v>
      </c>
      <c r="B39" s="3">
        <f>(B38*B15)/(0.85*B14*B20)</f>
        <v>2.8370823529411768</v>
      </c>
      <c r="C39" s="2" t="s">
        <v>0</v>
      </c>
      <c r="D39" s="2" t="str">
        <f>IF(B39&lt;=B12-B17,"O.K","N.G")</f>
        <v>O.K</v>
      </c>
      <c r="G39" s="27" t="s">
        <v>86</v>
      </c>
      <c r="H39" s="27">
        <f>2/(1+(50*H38))</f>
        <v>1.8310579745267523</v>
      </c>
    </row>
    <row r="40" spans="1:10" ht="15.6" x14ac:dyDescent="0.3">
      <c r="A40" s="2" t="s">
        <v>31</v>
      </c>
      <c r="B40" s="2">
        <f>IF(B14&lt;=280,B39/0.85,IF(B14&gt;=550,B39/0.65,(B39*70)/(0.85-0.05*(B14-280))))</f>
        <v>3.3377439446366788</v>
      </c>
      <c r="C40" s="2" t="s">
        <v>0</v>
      </c>
      <c r="G40" s="27" t="s">
        <v>87</v>
      </c>
      <c r="H40" s="1">
        <f>1/(1+(50*H38))</f>
        <v>0.91552898726337617</v>
      </c>
    </row>
    <row r="41" spans="1:10" ht="15.6" x14ac:dyDescent="0.3">
      <c r="A41" s="4" t="s">
        <v>32</v>
      </c>
      <c r="B41" s="6">
        <f>(0.003*B21)/B40-0.003</f>
        <v>2.144765127388535E-2</v>
      </c>
      <c r="C41" s="42" t="str">
        <f>IF(B41&gt;=0.005,"Tension Controlled","Compression Controlled")</f>
        <v>Tension Controlled</v>
      </c>
      <c r="D41" s="42"/>
      <c r="E41" s="42"/>
      <c r="G41" s="4" t="s">
        <v>54</v>
      </c>
      <c r="H41" s="3">
        <f>(H39*H37)+H34-(H40*H32)-B19</f>
        <v>3.7857681914397721</v>
      </c>
      <c r="I41" s="1" t="s">
        <v>0</v>
      </c>
    </row>
    <row r="42" spans="1:10" ht="15.6" x14ac:dyDescent="0.3">
      <c r="A42" s="4" t="s">
        <v>21</v>
      </c>
      <c r="B42" s="3">
        <f>IF(B41&gt;=0.005,0.9*B38*B15*10^-2*(B21-0.5*B39),0.65*B38*B15*10^-2*(B21-0.5*B39))</f>
        <v>1398.8813305976475</v>
      </c>
      <c r="C42" s="2" t="s">
        <v>92</v>
      </c>
      <c r="D42" s="2"/>
      <c r="G42" s="4" t="s">
        <v>88</v>
      </c>
      <c r="H42" s="3">
        <f>IF(D4="Yes",B18/480,B18/240)</f>
        <v>3.0833333333333335</v>
      </c>
      <c r="I42" s="27" t="s">
        <v>0</v>
      </c>
    </row>
    <row r="43" spans="1:10" x14ac:dyDescent="0.3">
      <c r="A43" s="17" t="s">
        <v>71</v>
      </c>
      <c r="B43" s="3">
        <f>B25/B42</f>
        <v>1.0699787756076944</v>
      </c>
      <c r="C43" s="17" t="str">
        <f>IF(B43&lt;=1,"O.K","N.G")</f>
        <v>N.G</v>
      </c>
      <c r="G43" s="27" t="s">
        <v>71</v>
      </c>
      <c r="H43" s="3">
        <f>H41/H42</f>
        <v>1.2278167107372233</v>
      </c>
      <c r="I43" s="27" t="str">
        <f>IF(H43&lt;=1,"O.K","N.G")</f>
        <v>N.G</v>
      </c>
    </row>
  </sheetData>
  <sheetProtection algorithmName="SHA-512" hashValue="l8JkSpkLSqjzT7bG0Zw9JtYKSfI7OGVXw9ciHoXnmpv97auVbJsHYh2u7rXCoXs7OH0f8WAUxDfKqbWd2Ah2Cw==" saltValue="yJwHFLIyP9ggN2M9PhJcww==" spinCount="100000" sheet="1" objects="1" scenarios="1"/>
  <mergeCells count="22">
    <mergeCell ref="A37:B37"/>
    <mergeCell ref="C41:E41"/>
    <mergeCell ref="K7:S7"/>
    <mergeCell ref="K5:P5"/>
    <mergeCell ref="D11:E11"/>
    <mergeCell ref="D20:E20"/>
    <mergeCell ref="D22:F22"/>
    <mergeCell ref="C34:E34"/>
    <mergeCell ref="A27:C27"/>
    <mergeCell ref="G14:I14"/>
    <mergeCell ref="D12:F12"/>
    <mergeCell ref="A28:C28"/>
    <mergeCell ref="D10:F10"/>
    <mergeCell ref="D13:F13"/>
    <mergeCell ref="E6:F6"/>
    <mergeCell ref="B1:H2"/>
    <mergeCell ref="A4:C5"/>
    <mergeCell ref="D4:D5"/>
    <mergeCell ref="X7:Y7"/>
    <mergeCell ref="B6:C6"/>
    <mergeCell ref="A3:C3"/>
    <mergeCell ref="G3:I3"/>
  </mergeCells>
  <conditionalFormatting sqref="C34">
    <cfRule type="expression" dxfId="47" priority="21">
      <formula>B34&lt;0.005</formula>
    </cfRule>
    <cfRule type="expression" dxfId="46" priority="22">
      <formula>B34&gt;=0.005</formula>
    </cfRule>
  </conditionalFormatting>
  <conditionalFormatting sqref="C41">
    <cfRule type="expression" dxfId="45" priority="19">
      <formula>B41&lt;0.005</formula>
    </cfRule>
    <cfRule type="expression" dxfId="44" priority="20">
      <formula>B41&gt;=0.005</formula>
    </cfRule>
  </conditionalFormatting>
  <conditionalFormatting sqref="I12">
    <cfRule type="expression" dxfId="43" priority="9">
      <formula>H12&gt;1</formula>
    </cfRule>
    <cfRule type="expression" dxfId="42" priority="10">
      <formula>H12&lt;=1</formula>
    </cfRule>
  </conditionalFormatting>
  <conditionalFormatting sqref="C36">
    <cfRule type="expression" dxfId="41" priority="7">
      <formula>B36&gt;1</formula>
    </cfRule>
    <cfRule type="expression" dxfId="40" priority="8">
      <formula>B36&lt;=1</formula>
    </cfRule>
  </conditionalFormatting>
  <conditionalFormatting sqref="C43">
    <cfRule type="expression" dxfId="39" priority="5">
      <formula>B43&gt;1</formula>
    </cfRule>
    <cfRule type="expression" dxfId="38" priority="6">
      <formula>B43&lt;=1</formula>
    </cfRule>
  </conditionalFormatting>
  <conditionalFormatting sqref="J41">
    <cfRule type="expression" dxfId="37" priority="3">
      <formula>J41="N.G"</formula>
    </cfRule>
    <cfRule type="expression" dxfId="36" priority="4">
      <formula>J41="O.K"</formula>
    </cfRule>
  </conditionalFormatting>
  <conditionalFormatting sqref="J23">
    <cfRule type="expression" dxfId="35" priority="460">
      <formula>H23&lt;B17</formula>
    </cfRule>
    <cfRule type="expression" dxfId="34" priority="461">
      <formula>H23&gt;=B17</formula>
    </cfRule>
  </conditionalFormatting>
  <conditionalFormatting sqref="D17">
    <cfRule type="expression" dxfId="33" priority="464">
      <formula>Y15&gt;H18</formula>
    </cfRule>
    <cfRule type="expression" dxfId="32" priority="465">
      <formula>Y15&lt;=H18</formula>
    </cfRule>
  </conditionalFormatting>
  <conditionalFormatting sqref="D32">
    <cfRule type="expression" dxfId="31" priority="474">
      <formula>B32&gt;B17</formula>
    </cfRule>
    <cfRule type="expression" dxfId="30" priority="475">
      <formula>B32&lt;=B17</formula>
    </cfRule>
  </conditionalFormatting>
  <conditionalFormatting sqref="D39">
    <cfRule type="expression" dxfId="29" priority="476">
      <formula>B39&gt;B12-B17</formula>
    </cfRule>
    <cfRule type="expression" dxfId="28" priority="477">
      <formula>B39&lt;=B12-B17</formula>
    </cfRule>
  </conditionalFormatting>
  <conditionalFormatting sqref="J34">
    <cfRule type="expression" dxfId="27" priority="480">
      <formula>H34&gt;B18/360</formula>
    </cfRule>
    <cfRule type="expression" dxfId="26" priority="481">
      <formula>H34&lt;=B18/360</formula>
    </cfRule>
  </conditionalFormatting>
  <conditionalFormatting sqref="I43">
    <cfRule type="expression" dxfId="25" priority="1">
      <formula>H43&gt;1</formula>
    </cfRule>
    <cfRule type="expression" dxfId="24" priority="2">
      <formula>H43&lt;=1</formula>
    </cfRule>
  </conditionalFormatting>
  <dataValidations count="8">
    <dataValidation type="list" allowBlank="1" showInputMessage="1" showErrorMessage="1" sqref="B6" xr:uid="{00000000-0002-0000-0000-000000000000}">
      <formula1>"Single Joist,Double Joist"</formula1>
    </dataValidation>
    <dataValidation type="list" allowBlank="1" showInputMessage="1" showErrorMessage="1" sqref="B15 H4" xr:uid="{00000000-0002-0000-0000-000001000000}">
      <formula1>"2400,3000,4000"</formula1>
    </dataValidation>
    <dataValidation type="list" allowBlank="1" showInputMessage="1" showErrorMessage="1" sqref="D29:D30 E37" xr:uid="{00000000-0002-0000-0000-000002000000}">
      <formula1>"8,10,12,14,16"</formula1>
    </dataValidation>
    <dataValidation type="list" allowBlank="1" showInputMessage="1" showErrorMessage="1" sqref="B10" xr:uid="{00000000-0002-0000-0000-000003000000}">
      <formula1>"20,40"</formula1>
    </dataValidation>
    <dataValidation type="list" allowBlank="1" showInputMessage="1" showErrorMessage="1" sqref="D4" xr:uid="{00000000-0002-0000-0000-000004000000}">
      <formula1>"Yes,No"</formula1>
    </dataValidation>
    <dataValidation type="list" allowBlank="1" showInputMessage="1" showErrorMessage="1" sqref="B30" xr:uid="{00000000-0002-0000-0000-000005000000}">
      <formula1>"0,1"</formula1>
    </dataValidation>
    <dataValidation type="list" allowBlank="1" showInputMessage="1" showErrorMessage="1" sqref="G6" xr:uid="{00000000-0002-0000-0000-000006000000}">
      <formula1>"0,1,2"</formula1>
    </dataValidation>
    <dataValidation type="list" allowBlank="1" showInputMessage="1" showErrorMessage="1" sqref="I6" xr:uid="{00000000-0002-0000-0000-000007000000}">
      <formula1>"6,8,10"</formula1>
    </dataValidation>
  </dataValidations>
  <pageMargins left="0.7" right="0.45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AutoCAD Drawing" shapeId="1026" r:id="rId4">
          <objectPr defaultSize="0" autoPict="0" r:id="rId5">
            <anchor moveWithCells="1">
              <from>
                <xdr:col>11</xdr:col>
                <xdr:colOff>7620</xdr:colOff>
                <xdr:row>9</xdr:row>
                <xdr:rowOff>0</xdr:rowOff>
              </from>
              <to>
                <xdr:col>21</xdr:col>
                <xdr:colOff>0</xdr:colOff>
                <xdr:row>28</xdr:row>
                <xdr:rowOff>53340</xdr:rowOff>
              </to>
            </anchor>
          </objectPr>
        </oleObject>
      </mc:Choice>
      <mc:Fallback>
        <oleObject progId="AutoCAD Drawing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FACC-1502-476C-B36C-8CE52527ED34}">
  <dimension ref="A1:AE43"/>
  <sheetViews>
    <sheetView showGridLines="0" tabSelected="1" zoomScaleNormal="100" workbookViewId="0">
      <selection activeCell="B21" sqref="B21 B17 H5"/>
    </sheetView>
  </sheetViews>
  <sheetFormatPr defaultColWidth="8.88671875" defaultRowHeight="14.4" x14ac:dyDescent="0.3"/>
  <cols>
    <col min="1" max="23" width="8.88671875" style="29"/>
    <col min="24" max="24" width="10.77734375" style="29" customWidth="1"/>
    <col min="25" max="16384" width="8.88671875" style="29"/>
  </cols>
  <sheetData>
    <row r="1" spans="1:31" ht="21" customHeight="1" x14ac:dyDescent="0.3">
      <c r="B1" s="36" t="s">
        <v>102</v>
      </c>
      <c r="C1" s="36"/>
      <c r="D1" s="36"/>
      <c r="E1" s="36"/>
      <c r="F1" s="36"/>
      <c r="G1" s="36"/>
      <c r="H1" s="36"/>
      <c r="I1" s="15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21" customHeight="1" x14ac:dyDescent="0.3">
      <c r="B2" s="36"/>
      <c r="C2" s="36"/>
      <c r="D2" s="36"/>
      <c r="E2" s="36"/>
      <c r="F2" s="36"/>
      <c r="G2" s="36"/>
      <c r="H2" s="36"/>
      <c r="I2" s="15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21" customHeight="1" x14ac:dyDescent="0.3">
      <c r="A3" s="40" t="s">
        <v>62</v>
      </c>
      <c r="B3" s="40"/>
      <c r="C3" s="40"/>
      <c r="D3" s="15"/>
      <c r="E3" s="15"/>
      <c r="F3" s="15"/>
      <c r="G3" s="40" t="s">
        <v>66</v>
      </c>
      <c r="H3" s="40"/>
      <c r="I3" s="40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ht="16.2" x14ac:dyDescent="0.3">
      <c r="A4" s="37" t="s">
        <v>76</v>
      </c>
      <c r="B4" s="37"/>
      <c r="C4" s="37"/>
      <c r="D4" s="38" t="s">
        <v>79</v>
      </c>
      <c r="E4" s="21"/>
      <c r="G4" s="29" t="s">
        <v>61</v>
      </c>
      <c r="H4" s="28">
        <v>3000</v>
      </c>
      <c r="I4" s="29" t="s">
        <v>89</v>
      </c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x14ac:dyDescent="0.3">
      <c r="A5" s="37"/>
      <c r="B5" s="37"/>
      <c r="C5" s="37"/>
      <c r="D5" s="38"/>
      <c r="E5" s="21"/>
      <c r="G5" s="29" t="s">
        <v>23</v>
      </c>
      <c r="H5" s="28">
        <v>15</v>
      </c>
      <c r="I5" s="29" t="s">
        <v>0</v>
      </c>
      <c r="K5" s="43" t="s">
        <v>24</v>
      </c>
      <c r="L5" s="43"/>
      <c r="M5" s="43"/>
      <c r="N5" s="43"/>
      <c r="O5" s="43"/>
      <c r="P5" s="43"/>
      <c r="Q5" s="30"/>
      <c r="R5" s="30"/>
      <c r="S5" s="30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x14ac:dyDescent="0.3">
      <c r="A6" s="29" t="s">
        <v>57</v>
      </c>
      <c r="B6" s="38" t="s">
        <v>58</v>
      </c>
      <c r="C6" s="38"/>
      <c r="E6" s="45" t="s">
        <v>78</v>
      </c>
      <c r="F6" s="45"/>
      <c r="G6" s="28">
        <v>1</v>
      </c>
      <c r="H6" s="29" t="s">
        <v>59</v>
      </c>
      <c r="I6" s="28">
        <v>6</v>
      </c>
      <c r="K6" s="21"/>
      <c r="L6" s="21"/>
      <c r="M6" s="21"/>
      <c r="N6" s="21"/>
      <c r="O6" s="30"/>
      <c r="P6" s="30"/>
      <c r="Q6" s="30"/>
      <c r="R6" s="30"/>
      <c r="S6" s="30"/>
      <c r="V6" s="34"/>
      <c r="W6" s="34"/>
      <c r="X6" s="33"/>
      <c r="Y6" s="33"/>
      <c r="Z6" s="33"/>
      <c r="AA6" s="33"/>
      <c r="AB6" s="34"/>
      <c r="AC6" s="34"/>
      <c r="AD6" s="34"/>
      <c r="AE6" s="34"/>
    </row>
    <row r="7" spans="1:31" ht="16.2" x14ac:dyDescent="0.3">
      <c r="A7" s="29" t="s">
        <v>4</v>
      </c>
      <c r="B7" s="28">
        <v>560</v>
      </c>
      <c r="C7" s="29" t="s">
        <v>90</v>
      </c>
      <c r="G7" s="4" t="s">
        <v>33</v>
      </c>
      <c r="H7" s="14">
        <f>ATAN((B21-0.5*B17)/(0.5*H5))*180/PI()</f>
        <v>73.109416211765932</v>
      </c>
      <c r="I7" s="29" t="s">
        <v>25</v>
      </c>
      <c r="K7" s="43" t="s">
        <v>26</v>
      </c>
      <c r="L7" s="43"/>
      <c r="M7" s="43"/>
      <c r="N7" s="43"/>
      <c r="O7" s="43"/>
      <c r="P7" s="43"/>
      <c r="Q7" s="43"/>
      <c r="R7" s="43"/>
      <c r="S7" s="43"/>
      <c r="V7" s="34"/>
      <c r="W7" s="34"/>
      <c r="X7" s="39" t="s">
        <v>55</v>
      </c>
      <c r="Y7" s="39"/>
      <c r="Z7" s="33"/>
      <c r="AA7" s="33"/>
      <c r="AB7" s="34"/>
      <c r="AC7" s="34"/>
      <c r="AD7" s="34"/>
      <c r="AE7" s="34"/>
    </row>
    <row r="8" spans="1:31" ht="16.2" x14ac:dyDescent="0.3">
      <c r="A8" s="29" t="s">
        <v>5</v>
      </c>
      <c r="B8" s="28">
        <v>300</v>
      </c>
      <c r="C8" s="29" t="s">
        <v>90</v>
      </c>
      <c r="G8" s="29" t="s">
        <v>27</v>
      </c>
      <c r="H8" s="29">
        <f>(0.5*B23*B18*10^-2)-(B23*B21*10^-2)</f>
        <v>2248.768</v>
      </c>
      <c r="I8" s="29" t="s">
        <v>93</v>
      </c>
      <c r="V8" s="34"/>
      <c r="W8" s="34"/>
      <c r="X8" s="33" t="s">
        <v>56</v>
      </c>
      <c r="Y8" s="33">
        <f>B22/(B31*H17)</f>
        <v>0.99004761869158298</v>
      </c>
      <c r="Z8" s="33"/>
      <c r="AA8" s="33"/>
      <c r="AB8" s="34"/>
      <c r="AC8" s="34"/>
      <c r="AD8" s="34"/>
      <c r="AE8" s="34"/>
    </row>
    <row r="9" spans="1:31" ht="16.2" x14ac:dyDescent="0.3">
      <c r="A9" s="29" t="s">
        <v>6</v>
      </c>
      <c r="B9" s="28">
        <v>100</v>
      </c>
      <c r="C9" s="29" t="s">
        <v>90</v>
      </c>
      <c r="G9" s="29" t="s">
        <v>28</v>
      </c>
      <c r="H9" s="3">
        <f>1.1*0.53*B14^0.5*B20*B21</f>
        <v>2507.3067111943051</v>
      </c>
      <c r="I9" s="29" t="s">
        <v>93</v>
      </c>
      <c r="V9" s="34"/>
      <c r="W9" s="34"/>
      <c r="X9" s="33" t="s">
        <v>43</v>
      </c>
      <c r="Y9" s="33">
        <f>(SQRT((2*B21*Y8)+1)-1)/Y8</f>
        <v>6.4710609881068439</v>
      </c>
      <c r="Z9" s="33"/>
      <c r="AA9" s="33"/>
      <c r="AB9" s="34"/>
      <c r="AC9" s="34"/>
      <c r="AD9" s="34"/>
      <c r="AE9" s="34"/>
    </row>
    <row r="10" spans="1:31" ht="16.2" x14ac:dyDescent="0.3">
      <c r="A10" s="4" t="s">
        <v>50</v>
      </c>
      <c r="B10" s="28">
        <v>20</v>
      </c>
      <c r="D10" s="44" t="s">
        <v>69</v>
      </c>
      <c r="E10" s="44"/>
      <c r="F10" s="44"/>
      <c r="G10" s="29" t="s">
        <v>29</v>
      </c>
      <c r="H10" s="3">
        <f>MIN(4*0.53*B14^0.5*B20*B21,((G6*0.25*3.14*I6^2*10^-2*H4*B21)/H5)*(SIN(H7*3.14/180)+COS(H7*3.14/180)))</f>
        <v>1918.3548073698189</v>
      </c>
      <c r="I10" s="29" t="s">
        <v>93</v>
      </c>
      <c r="V10" s="34"/>
      <c r="W10" s="34"/>
      <c r="X10" s="33" t="s">
        <v>95</v>
      </c>
      <c r="Y10" s="33">
        <f>(B22*Y9^3)/3+(H17*B31*(B21-Y9)^2)</f>
        <v>26216.637890338901</v>
      </c>
      <c r="Z10" s="33" t="s">
        <v>96</v>
      </c>
      <c r="AA10" s="33"/>
      <c r="AB10" s="34"/>
      <c r="AC10" s="34"/>
      <c r="AD10" s="34"/>
      <c r="AE10" s="34"/>
    </row>
    <row r="11" spans="1:31" ht="15.6" x14ac:dyDescent="0.3">
      <c r="A11" s="29" t="s">
        <v>7</v>
      </c>
      <c r="B11" s="28">
        <v>50</v>
      </c>
      <c r="C11" s="29" t="s">
        <v>0</v>
      </c>
      <c r="D11" s="43" t="s">
        <v>8</v>
      </c>
      <c r="E11" s="43"/>
      <c r="F11" s="30"/>
      <c r="G11" s="29" t="s">
        <v>30</v>
      </c>
      <c r="H11" s="3">
        <f>0.75*(H9+H10)</f>
        <v>3319.246138923093</v>
      </c>
      <c r="I11" s="29" t="s">
        <v>93</v>
      </c>
      <c r="V11" s="34"/>
      <c r="W11" s="34"/>
      <c r="X11" s="33"/>
      <c r="Y11" s="33"/>
      <c r="Z11" s="33"/>
      <c r="AA11" s="33"/>
      <c r="AB11" s="34"/>
      <c r="AC11" s="34"/>
      <c r="AD11" s="34"/>
      <c r="AE11" s="34"/>
    </row>
    <row r="12" spans="1:31" x14ac:dyDescent="0.3">
      <c r="A12" s="29" t="s">
        <v>22</v>
      </c>
      <c r="B12" s="28">
        <v>30</v>
      </c>
      <c r="C12" s="29" t="s">
        <v>0</v>
      </c>
      <c r="D12" s="43" t="s">
        <v>75</v>
      </c>
      <c r="E12" s="43"/>
      <c r="F12" s="43"/>
      <c r="G12" s="29" t="s">
        <v>71</v>
      </c>
      <c r="H12" s="3">
        <f>H8/H11</f>
        <v>0.67749359519616636</v>
      </c>
      <c r="I12" s="29" t="str">
        <f>IF(H12&lt;=1,"O.K","N.G")</f>
        <v>O.K</v>
      </c>
      <c r="V12" s="34"/>
      <c r="W12" s="34"/>
      <c r="X12" s="33"/>
      <c r="Y12" s="33"/>
      <c r="Z12" s="33"/>
      <c r="AA12" s="33"/>
      <c r="AB12" s="34"/>
      <c r="AC12" s="34"/>
      <c r="AD12" s="34"/>
      <c r="AE12" s="34"/>
    </row>
    <row r="13" spans="1:31" ht="16.2" x14ac:dyDescent="0.3">
      <c r="A13" s="29" t="s">
        <v>68</v>
      </c>
      <c r="B13" s="28">
        <v>2.8</v>
      </c>
      <c r="C13" s="29" t="s">
        <v>0</v>
      </c>
      <c r="D13" s="44" t="s">
        <v>9</v>
      </c>
      <c r="E13" s="44"/>
      <c r="F13" s="44"/>
      <c r="V13" s="34"/>
      <c r="W13" s="34"/>
      <c r="X13" s="33" t="s">
        <v>97</v>
      </c>
      <c r="Y13" s="33">
        <f>1.2*B7+1.6*B8+1.6*B9</f>
        <v>1312</v>
      </c>
      <c r="Z13" s="33" t="s">
        <v>98</v>
      </c>
      <c r="AA13" s="33"/>
      <c r="AB13" s="34"/>
      <c r="AC13" s="34"/>
      <c r="AD13" s="34"/>
      <c r="AE13" s="34"/>
    </row>
    <row r="14" spans="1:31" ht="16.2" x14ac:dyDescent="0.3">
      <c r="A14" s="29" t="s">
        <v>10</v>
      </c>
      <c r="B14" s="28">
        <v>250</v>
      </c>
      <c r="C14" s="29" t="s">
        <v>89</v>
      </c>
      <c r="G14" s="40" t="s">
        <v>67</v>
      </c>
      <c r="H14" s="40"/>
      <c r="I14" s="40"/>
      <c r="V14" s="34"/>
      <c r="W14" s="34"/>
      <c r="X14" s="33" t="s">
        <v>99</v>
      </c>
      <c r="Y14" s="33">
        <f>(Y13*(B11-B20)^2)/120000</f>
        <v>17.493333333333332</v>
      </c>
      <c r="Z14" s="33" t="s">
        <v>94</v>
      </c>
      <c r="AA14" s="33"/>
      <c r="AB14" s="34"/>
      <c r="AC14" s="34"/>
      <c r="AD14" s="34"/>
      <c r="AE14" s="34"/>
    </row>
    <row r="15" spans="1:31" ht="16.2" x14ac:dyDescent="0.3">
      <c r="A15" s="29" t="s">
        <v>11</v>
      </c>
      <c r="B15" s="28">
        <v>3000</v>
      </c>
      <c r="C15" s="29" t="s">
        <v>89</v>
      </c>
      <c r="G15" s="29" t="s">
        <v>34</v>
      </c>
      <c r="H15" s="29">
        <f>((B20*0.5*(B12-B17)^2)+(B22*B17*(B12-0.5*B17)))/(B20*(B12-B17)+B22*B17)</f>
        <v>20</v>
      </c>
      <c r="I15" s="29" t="s">
        <v>0</v>
      </c>
      <c r="V15" s="34"/>
      <c r="W15" s="34"/>
      <c r="X15" s="33" t="s">
        <v>100</v>
      </c>
      <c r="Y15" s="33">
        <f>(Y14*600)/(100*B17^2)</f>
        <v>4.1984000000000004</v>
      </c>
      <c r="Z15" s="33" t="s">
        <v>101</v>
      </c>
      <c r="AA15" s="33"/>
      <c r="AB15" s="34"/>
      <c r="AC15" s="34"/>
      <c r="AD15" s="34"/>
      <c r="AE15" s="34"/>
    </row>
    <row r="16" spans="1:31" ht="16.2" x14ac:dyDescent="0.3">
      <c r="A16" s="29" t="s">
        <v>44</v>
      </c>
      <c r="B16" s="28">
        <v>2000000</v>
      </c>
      <c r="C16" s="29" t="s">
        <v>89</v>
      </c>
      <c r="G16" s="29" t="s">
        <v>35</v>
      </c>
      <c r="H16" s="7">
        <f>15100*B14^0.5</f>
        <v>238751.96334271264</v>
      </c>
      <c r="I16" s="29" t="s">
        <v>89</v>
      </c>
      <c r="V16" s="34"/>
      <c r="W16" s="34"/>
      <c r="X16" s="33"/>
      <c r="Y16" s="33"/>
      <c r="Z16" s="33"/>
      <c r="AA16" s="33"/>
      <c r="AB16" s="34"/>
      <c r="AC16" s="34"/>
      <c r="AD16" s="34"/>
      <c r="AE16" s="34"/>
    </row>
    <row r="17" spans="1:31" ht="15.6" x14ac:dyDescent="0.3">
      <c r="A17" s="29" t="s">
        <v>14</v>
      </c>
      <c r="B17" s="28">
        <v>5</v>
      </c>
      <c r="C17" s="29" t="s">
        <v>0</v>
      </c>
      <c r="D17" s="29" t="str">
        <f>IF(Y15&lt;=0.6*1.33*B14^0.5,"O.K","N.G")</f>
        <v>O.K</v>
      </c>
      <c r="G17" s="29" t="s">
        <v>36</v>
      </c>
      <c r="H17" s="3">
        <f>B16/H16</f>
        <v>8.3768944640221967</v>
      </c>
      <c r="V17" s="34"/>
      <c r="W17" s="34"/>
      <c r="X17" s="33" t="s">
        <v>103</v>
      </c>
      <c r="Y17" s="35">
        <f>(2*H20)/3</f>
        <v>439.20523057894155</v>
      </c>
      <c r="Z17" s="33" t="s">
        <v>92</v>
      </c>
      <c r="AA17" s="33"/>
      <c r="AB17" s="34"/>
      <c r="AC17" s="34"/>
      <c r="AD17" s="34"/>
      <c r="AE17" s="34"/>
    </row>
    <row r="18" spans="1:31" ht="16.2" x14ac:dyDescent="0.3">
      <c r="A18" s="29" t="s">
        <v>1</v>
      </c>
      <c r="B18" s="28">
        <v>740</v>
      </c>
      <c r="C18" s="29" t="s">
        <v>0</v>
      </c>
      <c r="G18" s="29" t="s">
        <v>37</v>
      </c>
      <c r="H18" s="3">
        <f>2*B14^0.5</f>
        <v>31.622776601683793</v>
      </c>
      <c r="I18" s="29" t="s">
        <v>89</v>
      </c>
      <c r="V18" s="34"/>
      <c r="W18" s="34"/>
      <c r="X18" s="33"/>
      <c r="Y18" s="33"/>
      <c r="Z18" s="33"/>
      <c r="AA18" s="33"/>
      <c r="AB18" s="34"/>
      <c r="AC18" s="34"/>
      <c r="AD18" s="34"/>
      <c r="AE18" s="34"/>
    </row>
    <row r="19" spans="1:31" ht="16.2" x14ac:dyDescent="0.3">
      <c r="A19" s="29" t="s">
        <v>77</v>
      </c>
      <c r="B19" s="28">
        <v>0</v>
      </c>
      <c r="C19" s="29" t="s">
        <v>0</v>
      </c>
      <c r="G19" s="29" t="s">
        <v>41</v>
      </c>
      <c r="H19" s="3">
        <f>(B22*B17^3)/12+(B22*B17*(B12-0.5*B17-H15)^2)+(B20*H15^3)/3+(B20*(B12-B17-H15)^3)/3</f>
        <v>41666.666666666664</v>
      </c>
      <c r="I19" s="29" t="s">
        <v>38</v>
      </c>
      <c r="V19" s="34"/>
      <c r="W19" s="34"/>
      <c r="X19" s="33"/>
      <c r="Y19" s="33"/>
      <c r="Z19" s="33"/>
      <c r="AA19" s="33"/>
      <c r="AB19" s="34"/>
      <c r="AC19" s="34"/>
      <c r="AD19" s="34"/>
      <c r="AE19" s="34"/>
    </row>
    <row r="20" spans="1:31" ht="15.6" x14ac:dyDescent="0.3">
      <c r="A20" s="29" t="s">
        <v>12</v>
      </c>
      <c r="B20" s="29">
        <f>IF(B6="Single Joist",10,20)</f>
        <v>10</v>
      </c>
      <c r="C20" s="29" t="s">
        <v>0</v>
      </c>
      <c r="D20" s="43" t="s">
        <v>13</v>
      </c>
      <c r="E20" s="43"/>
      <c r="G20" s="29" t="s">
        <v>39</v>
      </c>
      <c r="H20" s="3">
        <f>(H18*H19)/(H15*100)</f>
        <v>658.8078458684123</v>
      </c>
      <c r="I20" s="29" t="s">
        <v>92</v>
      </c>
      <c r="V20" s="34"/>
      <c r="W20" s="34"/>
      <c r="X20" s="33"/>
      <c r="Y20" s="33"/>
      <c r="Z20" s="33"/>
      <c r="AA20" s="33"/>
      <c r="AB20" s="34"/>
      <c r="AC20" s="34"/>
      <c r="AD20" s="34"/>
      <c r="AE20" s="34"/>
    </row>
    <row r="21" spans="1:31" x14ac:dyDescent="0.3">
      <c r="A21" s="29" t="s">
        <v>15</v>
      </c>
      <c r="B21" s="29">
        <f>B12-B13</f>
        <v>27.2</v>
      </c>
      <c r="C21" s="29" t="s">
        <v>0</v>
      </c>
      <c r="G21" s="29" t="s">
        <v>2</v>
      </c>
      <c r="H21" s="29">
        <f>B20/(H17*B31)</f>
        <v>0.1980095237383166</v>
      </c>
      <c r="V21" s="34"/>
      <c r="W21" s="34"/>
      <c r="X21" s="33"/>
      <c r="Y21" s="33"/>
      <c r="Z21" s="33"/>
      <c r="AA21" s="33"/>
      <c r="AB21" s="34"/>
      <c r="AC21" s="34"/>
      <c r="AD21" s="34"/>
      <c r="AE21" s="34"/>
    </row>
    <row r="22" spans="1:31" ht="15.6" x14ac:dyDescent="0.3">
      <c r="A22" s="29" t="s">
        <v>16</v>
      </c>
      <c r="B22" s="29">
        <f>MIN(0.25*B18+B20,16*B17+B20,B11)</f>
        <v>50</v>
      </c>
      <c r="C22" s="29" t="s">
        <v>0</v>
      </c>
      <c r="D22" s="43" t="s">
        <v>17</v>
      </c>
      <c r="E22" s="43"/>
      <c r="F22" s="43"/>
      <c r="G22" s="29" t="s">
        <v>42</v>
      </c>
      <c r="H22" s="29">
        <f>(B17*(B22-B20))/(H17*B31)</f>
        <v>3.9601904747663319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5.6" x14ac:dyDescent="0.3">
      <c r="A23" s="29" t="s">
        <v>18</v>
      </c>
      <c r="B23" s="29">
        <f>B11*10^-2*(1.2*B7+1.6*B8+1.6*B9)</f>
        <v>656</v>
      </c>
      <c r="C23" s="29" t="s">
        <v>91</v>
      </c>
      <c r="G23" s="29" t="s">
        <v>43</v>
      </c>
      <c r="H23" s="29">
        <f>(SQRT((1+H22)^2+H21*(2*B21+B17*H22))-(1+H22))/H21</f>
        <v>6.6080684140731005</v>
      </c>
      <c r="I23" s="29" t="s">
        <v>0</v>
      </c>
      <c r="J23" s="29" t="str">
        <f>IF(H23&gt;=B17,"&gt; t slab","&lt; t slab")</f>
        <v>&gt; t slab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16.2" x14ac:dyDescent="0.3">
      <c r="A24" s="29" t="s">
        <v>64</v>
      </c>
      <c r="B24" s="29">
        <f>(B23*B18^2)/80000</f>
        <v>4490.32</v>
      </c>
      <c r="C24" s="29" t="s">
        <v>92</v>
      </c>
      <c r="G24" s="29" t="s">
        <v>40</v>
      </c>
      <c r="H24" s="3">
        <f>IF(H23&gt;=B17,((B22-B20)*B17^3)/12+(B20*H23^3)/3+(H17*B31*(B21-H23)^2)+((B22-B20)*B17*(H23-0.5*B17)^2),Y10)</f>
        <v>26168.258452899754</v>
      </c>
      <c r="I24" s="29" t="s">
        <v>38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ht="15.6" x14ac:dyDescent="0.3">
      <c r="A25" s="29" t="s">
        <v>65</v>
      </c>
      <c r="B25" s="29">
        <f>(B23*B18^2)/240000</f>
        <v>1496.7733333333333</v>
      </c>
      <c r="C25" s="29" t="s">
        <v>92</v>
      </c>
      <c r="G25" s="29" t="s">
        <v>80</v>
      </c>
      <c r="H25" s="29">
        <f>B11*10^-2*B7</f>
        <v>280</v>
      </c>
      <c r="I25" s="29" t="s">
        <v>91</v>
      </c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ht="15.6" x14ac:dyDescent="0.3">
      <c r="G26" s="29" t="s">
        <v>82</v>
      </c>
      <c r="H26" s="29">
        <f>B11*10^-2*B9</f>
        <v>50</v>
      </c>
      <c r="I26" s="29" t="s">
        <v>91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ht="15.6" x14ac:dyDescent="0.3">
      <c r="A27" s="40" t="s">
        <v>63</v>
      </c>
      <c r="B27" s="40"/>
      <c r="C27" s="40"/>
      <c r="G27" s="29" t="s">
        <v>45</v>
      </c>
      <c r="H27" s="29">
        <f>B11*10^-2*B8</f>
        <v>150</v>
      </c>
      <c r="I27" s="29" t="s">
        <v>91</v>
      </c>
    </row>
    <row r="28" spans="1:31" ht="15.6" x14ac:dyDescent="0.3">
      <c r="A28" s="41" t="s">
        <v>72</v>
      </c>
      <c r="B28" s="41"/>
      <c r="C28" s="41"/>
      <c r="G28" s="29" t="s">
        <v>81</v>
      </c>
      <c r="H28" s="3">
        <f>(H25*B18^2)/80000</f>
        <v>1916.6</v>
      </c>
      <c r="I28" s="29" t="s">
        <v>92</v>
      </c>
    </row>
    <row r="29" spans="1:31" ht="16.2" x14ac:dyDescent="0.3">
      <c r="A29" s="31" t="s">
        <v>73</v>
      </c>
      <c r="B29" s="29">
        <v>2</v>
      </c>
      <c r="C29" s="29" t="s">
        <v>59</v>
      </c>
      <c r="D29" s="28">
        <v>16</v>
      </c>
      <c r="G29" s="29" t="s">
        <v>83</v>
      </c>
      <c r="H29" s="3">
        <f>IF(H28&lt;=Y17,H19,(H24/(1-(Y17/H28)^2*(1-(H24/H19)))))</f>
        <v>26689.587885786132</v>
      </c>
      <c r="I29" s="29" t="s">
        <v>38</v>
      </c>
    </row>
    <row r="30" spans="1:31" ht="15" x14ac:dyDescent="0.3">
      <c r="A30" s="31" t="s">
        <v>74</v>
      </c>
      <c r="B30" s="28">
        <v>1</v>
      </c>
      <c r="C30" s="29" t="s">
        <v>59</v>
      </c>
      <c r="D30" s="28">
        <v>16</v>
      </c>
      <c r="G30" s="10" t="s">
        <v>46</v>
      </c>
      <c r="H30" s="3">
        <f>((H25+H26+H27)*B18^2)/80000</f>
        <v>3285.6</v>
      </c>
      <c r="I30" s="29" t="s">
        <v>92</v>
      </c>
    </row>
    <row r="31" spans="1:31" ht="16.2" x14ac:dyDescent="0.3">
      <c r="A31" s="29" t="s">
        <v>19</v>
      </c>
      <c r="B31" s="3">
        <f>IF(B6="Single Joist",(B29*0.25*3.14*D29^2*10^-2)+(B30*0.25*3.14*D30^2*10^-2),2*((B29*0.25*3.14*D29^2*10^-2)+(B30*0.25*3.14*D30^2*10^-2)))</f>
        <v>6.0288000000000004</v>
      </c>
      <c r="C31" s="29" t="s">
        <v>20</v>
      </c>
      <c r="G31" s="29" t="s">
        <v>47</v>
      </c>
      <c r="H31" s="3">
        <f>IF(H30&lt;=Y17,H19,(H24/(1-(Y17/H30)^2*(1-(H24/H19)))))</f>
        <v>26343.35397205198</v>
      </c>
      <c r="I31" s="29" t="s">
        <v>38</v>
      </c>
    </row>
    <row r="32" spans="1:31" ht="15.6" x14ac:dyDescent="0.3">
      <c r="A32" s="29" t="s">
        <v>3</v>
      </c>
      <c r="B32" s="3">
        <f>(B31*B15)/(0.85*B14*B22)</f>
        <v>1.702249411764706</v>
      </c>
      <c r="C32" s="29" t="s">
        <v>0</v>
      </c>
      <c r="D32" s="29" t="str">
        <f>IF(B32&lt;=B17,"O.K","N.G")</f>
        <v>O.K</v>
      </c>
      <c r="G32" s="4" t="s">
        <v>84</v>
      </c>
      <c r="H32" s="3">
        <f>(5*H25*10^-2*B18^4)/(384*H16*H29)</f>
        <v>1.7156743984675671</v>
      </c>
      <c r="I32" s="29" t="s">
        <v>0</v>
      </c>
    </row>
    <row r="33" spans="1:10" ht="15.6" x14ac:dyDescent="0.3">
      <c r="A33" s="29" t="s">
        <v>31</v>
      </c>
      <c r="B33" s="3">
        <f>IF(B14&lt;=280,B32/0.85,IF(B14&gt;=550,B32/0.65,(B32*70)/(0.85-0.05*(B14-280))))</f>
        <v>2.0026463667820069</v>
      </c>
      <c r="C33" s="29" t="s">
        <v>0</v>
      </c>
      <c r="G33" s="4" t="s">
        <v>48</v>
      </c>
      <c r="H33" s="3">
        <f>(5*(H25+H26+H27)*10^-2*B18^4)/(384*H16*H31)</f>
        <v>2.9798120850978722</v>
      </c>
      <c r="I33" s="29" t="s">
        <v>0</v>
      </c>
    </row>
    <row r="34" spans="1:10" ht="15.6" x14ac:dyDescent="0.3">
      <c r="A34" s="4" t="s">
        <v>32</v>
      </c>
      <c r="B34" s="6">
        <f>(0.003*B21)/B33-0.003</f>
        <v>3.7746085456475585E-2</v>
      </c>
      <c r="C34" s="42" t="str">
        <f>IF(B34&gt;=0.005,"Tension Controlled","Compression Controlled")</f>
        <v>Tension Controlled</v>
      </c>
      <c r="D34" s="42"/>
      <c r="E34" s="42"/>
      <c r="G34" s="4" t="s">
        <v>49</v>
      </c>
      <c r="H34" s="3">
        <f>H33-H32-B19</f>
        <v>1.2641376866303051</v>
      </c>
      <c r="I34" s="29" t="s">
        <v>0</v>
      </c>
      <c r="J34" s="29" t="str">
        <f>IF(H34&lt;=B18/360,"O.K","N.G")</f>
        <v>O.K</v>
      </c>
    </row>
    <row r="35" spans="1:10" ht="15.6" x14ac:dyDescent="0.3">
      <c r="A35" s="4" t="s">
        <v>21</v>
      </c>
      <c r="B35" s="3">
        <f>IF(B34&gt;=0.005,0.9*B31*B15*10^-2*(B21-0.5*B32),0.65*B31*B15*10^-2*(B21-0.5*B32))</f>
        <v>4289.006683075766</v>
      </c>
      <c r="C35" s="29" t="s">
        <v>92</v>
      </c>
      <c r="G35" s="10" t="s">
        <v>51</v>
      </c>
      <c r="H35" s="3">
        <f>((H25+H26+(B10*10^-2*H27))*B18^2)/80000</f>
        <v>2464.1999999999998</v>
      </c>
      <c r="I35" s="29" t="s">
        <v>92</v>
      </c>
    </row>
    <row r="36" spans="1:10" ht="16.2" x14ac:dyDescent="0.3">
      <c r="A36" s="29" t="s">
        <v>71</v>
      </c>
      <c r="B36" s="3">
        <f>B24/B35</f>
        <v>1.0469370490185075</v>
      </c>
      <c r="C36" s="29" t="str">
        <f>IF(B36&lt;=1,"O.K","N.G")</f>
        <v>N.G</v>
      </c>
      <c r="G36" s="29" t="s">
        <v>52</v>
      </c>
      <c r="H36" s="3">
        <f>IF(H35&lt;=Y17,H19,(H24/(1-(Y17/H35)^2*(1-(H24/H19)))))</f>
        <v>26481.167825407723</v>
      </c>
      <c r="I36" s="29" t="s">
        <v>38</v>
      </c>
    </row>
    <row r="37" spans="1:10" ht="15.6" x14ac:dyDescent="0.3">
      <c r="A37" s="41" t="s">
        <v>60</v>
      </c>
      <c r="B37" s="41"/>
      <c r="C37" s="29">
        <v>1</v>
      </c>
      <c r="D37" s="29" t="s">
        <v>59</v>
      </c>
      <c r="E37" s="28">
        <v>16</v>
      </c>
      <c r="G37" s="4" t="s">
        <v>53</v>
      </c>
      <c r="H37" s="3">
        <f>(5*(H25+H26+(B10*10^-2*H27))*10^-2*B18^4)/(384*H16*H36)</f>
        <v>2.2232283630430176</v>
      </c>
      <c r="I37" s="29" t="s">
        <v>0</v>
      </c>
    </row>
    <row r="38" spans="1:10" ht="16.2" x14ac:dyDescent="0.3">
      <c r="A38" s="29" t="s">
        <v>19</v>
      </c>
      <c r="B38" s="3">
        <f>IF(B6="Single Joist",C37*0.25*3.14*E37^2*10^-2,2*C37*0.25*3.14*E37^2*10^-2)</f>
        <v>2.0096000000000003</v>
      </c>
      <c r="C38" s="29" t="s">
        <v>20</v>
      </c>
      <c r="G38" s="29" t="s">
        <v>85</v>
      </c>
      <c r="H38" s="29">
        <f>(B38+0.5)/(B11*B21)</f>
        <v>1.8452941176470591E-3</v>
      </c>
    </row>
    <row r="39" spans="1:10" ht="15.6" x14ac:dyDescent="0.3">
      <c r="A39" s="29" t="s">
        <v>3</v>
      </c>
      <c r="B39" s="3">
        <f>(B38*B15)/(0.85*B14*B20)</f>
        <v>2.8370823529411768</v>
      </c>
      <c r="C39" s="29" t="s">
        <v>0</v>
      </c>
      <c r="D39" s="29" t="str">
        <f>IF(B39&lt;=B12-B17,"O.K","N.G")</f>
        <v>O.K</v>
      </c>
      <c r="G39" s="29" t="s">
        <v>86</v>
      </c>
      <c r="H39" s="29">
        <f>2/(1+(50*H38))</f>
        <v>1.8310579745267523</v>
      </c>
    </row>
    <row r="40" spans="1:10" ht="15.6" x14ac:dyDescent="0.3">
      <c r="A40" s="29" t="s">
        <v>31</v>
      </c>
      <c r="B40" s="29">
        <f>IF(B14&lt;=280,B39/0.85,IF(B14&gt;=550,B39/0.65,(B39*70)/(0.85-0.05*(B14-280))))</f>
        <v>3.3377439446366788</v>
      </c>
      <c r="C40" s="29" t="s">
        <v>0</v>
      </c>
      <c r="G40" s="29" t="s">
        <v>87</v>
      </c>
      <c r="H40" s="29">
        <f>1/(1+(50*H38))</f>
        <v>0.91552898726337617</v>
      </c>
    </row>
    <row r="41" spans="1:10" ht="15.6" x14ac:dyDescent="0.3">
      <c r="A41" s="4" t="s">
        <v>32</v>
      </c>
      <c r="B41" s="6">
        <f>(0.003*B21)/B40-0.003</f>
        <v>2.144765127388535E-2</v>
      </c>
      <c r="C41" s="42" t="str">
        <f>IF(B41&gt;=0.005,"Tension Controlled","Compression Controlled")</f>
        <v>Tension Controlled</v>
      </c>
      <c r="D41" s="42"/>
      <c r="E41" s="42"/>
      <c r="G41" s="4" t="s">
        <v>54</v>
      </c>
      <c r="H41" s="3">
        <f>(H39*H37)+H34-(H40*H32)-B19</f>
        <v>3.7642480654715671</v>
      </c>
      <c r="I41" s="29" t="s">
        <v>0</v>
      </c>
    </row>
    <row r="42" spans="1:10" ht="15.6" x14ac:dyDescent="0.3">
      <c r="A42" s="4" t="s">
        <v>21</v>
      </c>
      <c r="B42" s="3">
        <f>IF(B41&gt;=0.005,0.9*B38*B15*10^-2*(B21-0.5*B39),0.65*B38*B15*10^-2*(B21-0.5*B39))</f>
        <v>1398.8813305976475</v>
      </c>
      <c r="C42" s="29" t="s">
        <v>92</v>
      </c>
      <c r="G42" s="4" t="s">
        <v>88</v>
      </c>
      <c r="H42" s="3">
        <f>IF(D4="Yes",B18/480,B18/240)</f>
        <v>3.0833333333333335</v>
      </c>
      <c r="I42" s="29" t="s">
        <v>0</v>
      </c>
    </row>
    <row r="43" spans="1:10" x14ac:dyDescent="0.3">
      <c r="A43" s="29" t="s">
        <v>71</v>
      </c>
      <c r="B43" s="3">
        <f>B25/B42</f>
        <v>1.0699787756076944</v>
      </c>
      <c r="C43" s="29" t="str">
        <f>IF(B43&lt;=1,"O.K","N.G")</f>
        <v>N.G</v>
      </c>
      <c r="G43" s="29" t="s">
        <v>71</v>
      </c>
      <c r="H43" s="3">
        <f>H41/H42</f>
        <v>1.2208372104232108</v>
      </c>
      <c r="I43" s="29" t="str">
        <f>IF(H43&lt;=1,"O.K","N.G")</f>
        <v>N.G</v>
      </c>
    </row>
  </sheetData>
  <sheetProtection algorithmName="SHA-512" hashValue="Er7fF/B7VhwUpLvmK6rV8WRG7wcD8UKH0zMBQK4a8/YyN5hs9hiJYVwMTesZ6bK9NhzsENAFYhjpVwOxDf5p3Q==" saltValue="Po0xmcA4F9SoM8j+dKPSTQ==" spinCount="100000" sheet="1" objects="1" scenarios="1"/>
  <mergeCells count="22">
    <mergeCell ref="K7:S7"/>
    <mergeCell ref="X7:Y7"/>
    <mergeCell ref="D10:F10"/>
    <mergeCell ref="D11:E11"/>
    <mergeCell ref="B1:H2"/>
    <mergeCell ref="A3:C3"/>
    <mergeCell ref="G3:I3"/>
    <mergeCell ref="A4:C5"/>
    <mergeCell ref="D4:D5"/>
    <mergeCell ref="K5:P5"/>
    <mergeCell ref="G14:I14"/>
    <mergeCell ref="D20:E20"/>
    <mergeCell ref="D22:F22"/>
    <mergeCell ref="A27:C27"/>
    <mergeCell ref="B6:C6"/>
    <mergeCell ref="E6:F6"/>
    <mergeCell ref="A28:C28"/>
    <mergeCell ref="C34:E34"/>
    <mergeCell ref="A37:B37"/>
    <mergeCell ref="C41:E41"/>
    <mergeCell ref="D12:F12"/>
    <mergeCell ref="D13:F13"/>
  </mergeCells>
  <conditionalFormatting sqref="C34">
    <cfRule type="expression" dxfId="23" priority="13">
      <formula>B34&lt;0.005</formula>
    </cfRule>
    <cfRule type="expression" dxfId="22" priority="14">
      <formula>B34&gt;=0.005</formula>
    </cfRule>
  </conditionalFormatting>
  <conditionalFormatting sqref="C41">
    <cfRule type="expression" dxfId="21" priority="11">
      <formula>B41&lt;0.005</formula>
    </cfRule>
    <cfRule type="expression" dxfId="20" priority="12">
      <formula>B41&gt;=0.005</formula>
    </cfRule>
  </conditionalFormatting>
  <conditionalFormatting sqref="I12">
    <cfRule type="expression" dxfId="19" priority="9">
      <formula>H12&gt;1</formula>
    </cfRule>
    <cfRule type="expression" dxfId="18" priority="10">
      <formula>H12&lt;=1</formula>
    </cfRule>
  </conditionalFormatting>
  <conditionalFormatting sqref="C36">
    <cfRule type="expression" dxfId="17" priority="7">
      <formula>B36&gt;1</formula>
    </cfRule>
    <cfRule type="expression" dxfId="16" priority="8">
      <formula>B36&lt;=1</formula>
    </cfRule>
  </conditionalFormatting>
  <conditionalFormatting sqref="C43">
    <cfRule type="expression" dxfId="15" priority="5">
      <formula>B43&gt;1</formula>
    </cfRule>
    <cfRule type="expression" dxfId="14" priority="6">
      <formula>B43&lt;=1</formula>
    </cfRule>
  </conditionalFormatting>
  <conditionalFormatting sqref="J41">
    <cfRule type="expression" dxfId="13" priority="3">
      <formula>J41="N.G"</formula>
    </cfRule>
    <cfRule type="expression" dxfId="12" priority="4">
      <formula>J41="O.K"</formula>
    </cfRule>
  </conditionalFormatting>
  <conditionalFormatting sqref="J23">
    <cfRule type="expression" dxfId="11" priority="15">
      <formula>H23&lt;B17</formula>
    </cfRule>
    <cfRule type="expression" dxfId="10" priority="16">
      <formula>H23&gt;=B17</formula>
    </cfRule>
  </conditionalFormatting>
  <conditionalFormatting sqref="D17">
    <cfRule type="expression" dxfId="9" priority="17">
      <formula>Y15&gt;H18</formula>
    </cfRule>
    <cfRule type="expression" dxfId="8" priority="18">
      <formula>Y15&lt;=H18</formula>
    </cfRule>
  </conditionalFormatting>
  <conditionalFormatting sqref="D32">
    <cfRule type="expression" dxfId="7" priority="19">
      <formula>B32&gt;B17</formula>
    </cfRule>
    <cfRule type="expression" dxfId="6" priority="20">
      <formula>B32&lt;=B17</formula>
    </cfRule>
  </conditionalFormatting>
  <conditionalFormatting sqref="D39">
    <cfRule type="expression" dxfId="5" priority="21">
      <formula>B39&gt;B12-B17</formula>
    </cfRule>
    <cfRule type="expression" dxfId="4" priority="22">
      <formula>B39&lt;=B12-B17</formula>
    </cfRule>
  </conditionalFormatting>
  <conditionalFormatting sqref="J34">
    <cfRule type="expression" dxfId="3" priority="23">
      <formula>H34&gt;B18/360</formula>
    </cfRule>
    <cfRule type="expression" dxfId="2" priority="24">
      <formula>H34&lt;=B18/360</formula>
    </cfRule>
  </conditionalFormatting>
  <conditionalFormatting sqref="I43">
    <cfRule type="expression" dxfId="1" priority="1">
      <formula>H43&gt;1</formula>
    </cfRule>
    <cfRule type="expression" dxfId="0" priority="2">
      <formula>H43&lt;=1</formula>
    </cfRule>
  </conditionalFormatting>
  <dataValidations count="8">
    <dataValidation type="list" allowBlank="1" showInputMessage="1" showErrorMessage="1" sqref="I6" xr:uid="{2274E5B3-64DA-4E4F-A840-6AC7F8EA08E1}">
      <formula1>"6,8,10"</formula1>
    </dataValidation>
    <dataValidation type="list" allowBlank="1" showInputMessage="1" showErrorMessage="1" sqref="G6" xr:uid="{D1EF7120-A395-40E5-B1E7-B2649BAABFDA}">
      <formula1>"0,1,2"</formula1>
    </dataValidation>
    <dataValidation type="list" allowBlank="1" showInputMessage="1" showErrorMessage="1" sqref="B30" xr:uid="{7D426D74-4DD3-4FCD-9F89-0741EE507F84}">
      <formula1>"0,1"</formula1>
    </dataValidation>
    <dataValidation type="list" allowBlank="1" showInputMessage="1" showErrorMessage="1" sqref="D4" xr:uid="{23C96F8F-58F3-4FDC-8704-CE5A0A96FCD4}">
      <formula1>"Yes,No"</formula1>
    </dataValidation>
    <dataValidation type="list" allowBlank="1" showInputMessage="1" showErrorMessage="1" sqref="B10" xr:uid="{E96B6796-74E5-46B4-A6AC-49F8F5756C88}">
      <formula1>"20,40"</formula1>
    </dataValidation>
    <dataValidation type="list" allowBlank="1" showInputMessage="1" showErrorMessage="1" sqref="D29:D30 E37" xr:uid="{F3C8188F-293E-4C33-9076-691ECB6472E6}">
      <formula1>"8,10,12,14,16"</formula1>
    </dataValidation>
    <dataValidation type="list" allowBlank="1" showInputMessage="1" showErrorMessage="1" sqref="B15 H4" xr:uid="{501D0D22-4689-4B00-8343-2213BF7CF6EC}">
      <formula1>"2400,3000,4000"</formula1>
    </dataValidation>
    <dataValidation type="list" allowBlank="1" showInputMessage="1" showErrorMessage="1" sqref="B6" xr:uid="{CFB44A4D-A042-4063-9C3C-A2C87CD0CB05}">
      <formula1>"Single Joist,Double Joist"</formula1>
    </dataValidation>
  </dataValidations>
  <pageMargins left="0.7" right="0.45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AutoCAD Drawing" shapeId="2049" r:id="rId4">
          <objectPr defaultSize="0" autoPict="0" r:id="rId5">
            <anchor moveWithCells="1">
              <from>
                <xdr:col>11</xdr:col>
                <xdr:colOff>7620</xdr:colOff>
                <xdr:row>9</xdr:row>
                <xdr:rowOff>0</xdr:rowOff>
              </from>
              <to>
                <xdr:col>21</xdr:col>
                <xdr:colOff>0</xdr:colOff>
                <xdr:row>28</xdr:row>
                <xdr:rowOff>53340</xdr:rowOff>
              </to>
            </anchor>
          </objectPr>
        </oleObject>
      </mc:Choice>
      <mc:Fallback>
        <oleObject progId="AutoCAD Drawing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ACI318-14</vt:lpstr>
      <vt:lpstr>ACI318-19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Inception</dc:creator>
  <cp:lastModifiedBy>U01</cp:lastModifiedBy>
  <cp:lastPrinted>2020-04-10T05:54:53Z</cp:lastPrinted>
  <dcterms:created xsi:type="dcterms:W3CDTF">2011-11-03T12:41:33Z</dcterms:created>
  <dcterms:modified xsi:type="dcterms:W3CDTF">2020-04-14T09:12:07Z</dcterms:modified>
</cp:coreProperties>
</file>